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akuchnio\Downloads\"/>
    </mc:Choice>
  </mc:AlternateContent>
  <bookViews>
    <workbookView xWindow="0" yWindow="0" windowWidth="11117" windowHeight="8434"/>
  </bookViews>
  <sheets>
    <sheet name="P&amp;L" sheetId="16" r:id="rId1"/>
    <sheet name="Balance sheet" sheetId="3" r:id="rId2"/>
    <sheet name="Cash Flow" sheetId="4" r:id="rId3"/>
    <sheet name="Segments" sheetId="2" r:id="rId4"/>
    <sheet name="Ratios" sheetId="7" r:id="rId5"/>
    <sheet name="new KPI_segment B2C&amp;B2B" sheetId="9" r:id="rId6"/>
    <sheet name="KPI TV &amp; online" sheetId="13" r:id="rId7"/>
    <sheet name="KPI_segment Green Energy" sheetId="15" r:id="rId8"/>
    <sheet name="STARE KPI--&gt;" sheetId="8" r:id="rId9"/>
    <sheet name="KPI_segment B2C&amp;B2B" sheetId="5" r:id="rId10"/>
  </sheets>
  <definedNames>
    <definedName name="_xlnm.Print_Area" localSheetId="1">'Balance sheet'!$A$1:$R$86</definedName>
    <definedName name="_xlnm.Print_Area" localSheetId="2">'Cash Flow'!$A$2:$R$85</definedName>
    <definedName name="_xlnm.Print_Area" localSheetId="9">'KPI_segment B2C&amp;B2B'!$A$1:$T$38</definedName>
    <definedName name="_xlnm.Print_Area" localSheetId="5">'new KPI_segment B2C&amp;B2B'!$A$1:$B$31</definedName>
    <definedName name="_xlnm.Print_Area" localSheetId="0">'P&amp;L'!$A$4:$T$54</definedName>
    <definedName name="OLE_LINK3" localSheetId="2">'Cash Flow'!$A$22</definedName>
    <definedName name="Z_0581D693_F741_454A_848A_FCD54BC91A66_.wvu.Cols" localSheetId="1" hidden="1">'Balance sheet'!$C:$AD</definedName>
    <definedName name="Z_0581D693_F741_454A_848A_FCD54BC91A66_.wvu.Cols" localSheetId="2" hidden="1">'Cash Flow'!$C:$AH</definedName>
    <definedName name="Z_0581D693_F741_454A_848A_FCD54BC91A66_.wvu.Cols" localSheetId="6" hidden="1">'KPI TV &amp; online'!$D:$AF</definedName>
    <definedName name="Z_0581D693_F741_454A_848A_FCD54BC91A66_.wvu.Cols" localSheetId="9" hidden="1">'KPI_segment B2C&amp;B2B'!$C:$AF</definedName>
    <definedName name="Z_0581D693_F741_454A_848A_FCD54BC91A66_.wvu.Cols" localSheetId="7" hidden="1">'KPI_segment Green Energy'!#REF!,'KPI_segment Green Energy'!#REF!</definedName>
    <definedName name="Z_0581D693_F741_454A_848A_FCD54BC91A66_.wvu.Cols" localSheetId="5" hidden="1">'new KPI_segment B2C&amp;B2B'!#REF!</definedName>
    <definedName name="Z_0581D693_F741_454A_848A_FCD54BC91A66_.wvu.Cols" localSheetId="0" hidden="1">'P&amp;L'!$C:$AF</definedName>
    <definedName name="Z_0581D693_F741_454A_848A_FCD54BC91A66_.wvu.Cols" localSheetId="3" hidden="1">Segments!$C:$AL,Segments!$AR:$AV</definedName>
    <definedName name="Z_0581D693_F741_454A_848A_FCD54BC91A66_.wvu.PrintArea" localSheetId="1" hidden="1">'Balance sheet'!$A$1:$R$86</definedName>
    <definedName name="Z_0581D693_F741_454A_848A_FCD54BC91A66_.wvu.PrintArea" localSheetId="2" hidden="1">'Cash Flow'!$A$2:$R$85</definedName>
    <definedName name="Z_0581D693_F741_454A_848A_FCD54BC91A66_.wvu.PrintArea" localSheetId="9" hidden="1">'KPI_segment B2C&amp;B2B'!$A$1:$T$38</definedName>
    <definedName name="Z_0581D693_F741_454A_848A_FCD54BC91A66_.wvu.PrintArea" localSheetId="5" hidden="1">'new KPI_segment B2C&amp;B2B'!$A$1:$B$31</definedName>
    <definedName name="Z_0581D693_F741_454A_848A_FCD54BC91A66_.wvu.PrintArea" localSheetId="0" hidden="1">'P&amp;L'!$A$4:$T$54</definedName>
    <definedName name="Z_0581D693_F741_454A_848A_FCD54BC91A66_.wvu.Rows" localSheetId="9" hidden="1">'KPI_segment B2C&amp;B2B'!$14:$14</definedName>
    <definedName name="Z_0581D693_F741_454A_848A_FCD54BC91A66_.wvu.Rows" localSheetId="5" hidden="1">'new KPI_segment B2C&amp;B2B'!#REF!</definedName>
    <definedName name="Z_634BFE77_A2AA_4FA6_8ED5_F02244B9F10C_.wvu.Cols" localSheetId="1" hidden="1">'Balance sheet'!$C:$AD</definedName>
    <definedName name="Z_634BFE77_A2AA_4FA6_8ED5_F02244B9F10C_.wvu.Cols" localSheetId="2" hidden="1">'Cash Flow'!$C:$AH</definedName>
    <definedName name="Z_634BFE77_A2AA_4FA6_8ED5_F02244B9F10C_.wvu.Cols" localSheetId="6" hidden="1">'KPI TV &amp; online'!$D:$AF</definedName>
    <definedName name="Z_634BFE77_A2AA_4FA6_8ED5_F02244B9F10C_.wvu.Cols" localSheetId="9" hidden="1">'KPI_segment B2C&amp;B2B'!$C:$AF</definedName>
    <definedName name="Z_634BFE77_A2AA_4FA6_8ED5_F02244B9F10C_.wvu.Cols" localSheetId="7" hidden="1">'KPI_segment Green Energy'!#REF!,'KPI_segment Green Energy'!#REF!</definedName>
    <definedName name="Z_634BFE77_A2AA_4FA6_8ED5_F02244B9F10C_.wvu.Cols" localSheetId="5" hidden="1">'new KPI_segment B2C&amp;B2B'!#REF!</definedName>
    <definedName name="Z_634BFE77_A2AA_4FA6_8ED5_F02244B9F10C_.wvu.Cols" localSheetId="0" hidden="1">'P&amp;L'!$C:$AF</definedName>
    <definedName name="Z_634BFE77_A2AA_4FA6_8ED5_F02244B9F10C_.wvu.Cols" localSheetId="3" hidden="1">Segments!$C:$AL,Segments!$AR:$AV</definedName>
    <definedName name="Z_634BFE77_A2AA_4FA6_8ED5_F02244B9F10C_.wvu.PrintArea" localSheetId="1" hidden="1">'Balance sheet'!$A$1:$R$86</definedName>
    <definedName name="Z_634BFE77_A2AA_4FA6_8ED5_F02244B9F10C_.wvu.PrintArea" localSheetId="2" hidden="1">'Cash Flow'!$A$2:$R$85</definedName>
    <definedName name="Z_634BFE77_A2AA_4FA6_8ED5_F02244B9F10C_.wvu.PrintArea" localSheetId="9" hidden="1">'KPI_segment B2C&amp;B2B'!$A$1:$T$38</definedName>
    <definedName name="Z_634BFE77_A2AA_4FA6_8ED5_F02244B9F10C_.wvu.PrintArea" localSheetId="5" hidden="1">'new KPI_segment B2C&amp;B2B'!$A$1:$B$31</definedName>
    <definedName name="Z_634BFE77_A2AA_4FA6_8ED5_F02244B9F10C_.wvu.PrintArea" localSheetId="0" hidden="1">'P&amp;L'!$A$4:$T$54</definedName>
    <definedName name="Z_634BFE77_A2AA_4FA6_8ED5_F02244B9F10C_.wvu.Rows" localSheetId="9" hidden="1">'KPI_segment B2C&amp;B2B'!$14:$14</definedName>
    <definedName name="Z_634BFE77_A2AA_4FA6_8ED5_F02244B9F10C_.wvu.Rows" localSheetId="5" hidden="1">'new KPI_segment B2C&amp;B2B'!#REF!</definedName>
    <definedName name="Z_B87BD74C_18F3_4393_BF03_31B25889E08F_.wvu.Cols" localSheetId="2" hidden="1">'Cash Flow'!$C:$AH</definedName>
    <definedName name="Z_B87BD74C_18F3_4393_BF03_31B25889E08F_.wvu.Cols" localSheetId="6" hidden="1">'KPI TV &amp; online'!$D:$AF</definedName>
    <definedName name="Z_B87BD74C_18F3_4393_BF03_31B25889E08F_.wvu.Cols" localSheetId="9" hidden="1">'KPI_segment B2C&amp;B2B'!$C:$AF</definedName>
    <definedName name="Z_B87BD74C_18F3_4393_BF03_31B25889E08F_.wvu.Cols" localSheetId="7" hidden="1">'KPI_segment Green Energy'!#REF!,'KPI_segment Green Energy'!#REF!</definedName>
    <definedName name="Z_B87BD74C_18F3_4393_BF03_31B25889E08F_.wvu.Cols" localSheetId="5" hidden="1">'new KPI_segment B2C&amp;B2B'!#REF!</definedName>
    <definedName name="Z_B87BD74C_18F3_4393_BF03_31B25889E08F_.wvu.Cols" localSheetId="0" hidden="1">'P&amp;L'!$C:$AF</definedName>
    <definedName name="Z_B87BD74C_18F3_4393_BF03_31B25889E08F_.wvu.Cols" localSheetId="3" hidden="1">Segments!$C:$AL,Segments!$AR:$AV</definedName>
    <definedName name="Z_B87BD74C_18F3_4393_BF03_31B25889E08F_.wvu.PrintArea" localSheetId="1" hidden="1">'Balance sheet'!$A$1:$R$86</definedName>
    <definedName name="Z_B87BD74C_18F3_4393_BF03_31B25889E08F_.wvu.PrintArea" localSheetId="2" hidden="1">'Cash Flow'!$A$2:$R$85</definedName>
    <definedName name="Z_B87BD74C_18F3_4393_BF03_31B25889E08F_.wvu.PrintArea" localSheetId="9" hidden="1">'KPI_segment B2C&amp;B2B'!$A$1:$T$38</definedName>
    <definedName name="Z_B87BD74C_18F3_4393_BF03_31B25889E08F_.wvu.PrintArea" localSheetId="5" hidden="1">'new KPI_segment B2C&amp;B2B'!$A$1:$B$31</definedName>
    <definedName name="Z_B87BD74C_18F3_4393_BF03_31B25889E08F_.wvu.PrintArea" localSheetId="0" hidden="1">'P&amp;L'!$A$4:$T$54</definedName>
    <definedName name="Z_B87BD74C_18F3_4393_BF03_31B25889E08F_.wvu.Rows" localSheetId="9" hidden="1">'KPI_segment B2C&amp;B2B'!$14:$14</definedName>
    <definedName name="Z_B87BD74C_18F3_4393_BF03_31B25889E08F_.wvu.Rows" localSheetId="5" hidden="1">'new KPI_segment B2C&amp;B2B'!#REF!</definedName>
    <definedName name="Z_ED9E521F_BC9B_4E88_8A9F_5288A046401B_.wvu.Cols" localSheetId="6" hidden="1">'KPI TV &amp; online'!$D:$AF</definedName>
    <definedName name="Z_ED9E521F_BC9B_4E88_8A9F_5288A046401B_.wvu.Cols" localSheetId="7" hidden="1">'KPI_segment Green Energy'!#REF!,'KPI_segment Green Energy'!#REF!</definedName>
    <definedName name="Z_ED9E521F_BC9B_4E88_8A9F_5288A046401B_.wvu.Cols" localSheetId="3" hidden="1">Segments!$C:$AL,Segments!$AR:$AV</definedName>
    <definedName name="Z_ED9E521F_BC9B_4E88_8A9F_5288A046401B_.wvu.PrintArea" localSheetId="1" hidden="1">'Balance sheet'!$A$1:$R$86</definedName>
    <definedName name="Z_ED9E521F_BC9B_4E88_8A9F_5288A046401B_.wvu.PrintArea" localSheetId="2" hidden="1">'Cash Flow'!$A$2:$R$85</definedName>
    <definedName name="Z_ED9E521F_BC9B_4E88_8A9F_5288A046401B_.wvu.PrintArea" localSheetId="9" hidden="1">'KPI_segment B2C&amp;B2B'!$A$1:$T$38</definedName>
    <definedName name="Z_ED9E521F_BC9B_4E88_8A9F_5288A046401B_.wvu.PrintArea" localSheetId="5" hidden="1">'new KPI_segment B2C&amp;B2B'!$A$1:$B$31</definedName>
    <definedName name="Z_ED9E521F_BC9B_4E88_8A9F_5288A046401B_.wvu.PrintArea" localSheetId="0" hidden="1">'P&amp;L'!$A$4:$T$54</definedName>
    <definedName name="Z_ED9E521F_BC9B_4E88_8A9F_5288A046401B_.wvu.Rows" localSheetId="9" hidden="1">'KPI_segment B2C&amp;B2B'!$14:$14</definedName>
    <definedName name="Z_ED9E521F_BC9B_4E88_8A9F_5288A046401B_.wvu.Rows" localSheetId="5" hidden="1">'new KPI_segment B2C&amp;B2B'!#REF!</definedName>
  </definedNames>
  <calcPr calcId="162913"/>
  <customWorkbookViews>
    <customWorkbookView name="egieniusz - Widok osobisty" guid="{B87BD74C-18F3-4393-BF03-31B25889E08F}" mergeInterval="0" personalView="1" maximized="1" xWindow="-8" yWindow="-8" windowWidth="1936" windowHeight="1056" activeSheetId="6"/>
    <customWorkbookView name="Anna Kuchnio - Widok osobisty" guid="{0581D693-F741-454A-848A-FCD54BC91A66}" mergeInterval="0" personalView="1" xWindow="-2295" yWindow="-56" windowWidth="1251" windowHeight="1134" activeSheetId="4"/>
    <customWorkbookView name="Grzegorz Para - Widok osobisty" guid="{634BFE77-A2AA-4FA6-8ED5-F02244B9F10C}" mergeInterval="0" personalView="1" maximized="1" xWindow="-8" yWindow="-8" windowWidth="1936" windowHeight="1056" activeSheetId="1"/>
    <customWorkbookView name="Agata Wiktorow-Sobczuk - Widok osobisty" guid="{ED9E521F-BC9B-4E88-8A9F-5288A046401B}" mergeInterval="0" personalView="1" maximized="1" xWindow="1912" yWindow="2" windowWidth="1936" windowHeight="1056" tabRatio="597"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E44" i="16" l="1"/>
  <c r="CE43" i="16"/>
  <c r="CE42" i="16"/>
  <c r="CE41" i="16"/>
  <c r="CE40" i="16"/>
  <c r="BZ44" i="16"/>
  <c r="BZ43" i="16"/>
  <c r="BZ42" i="16"/>
  <c r="BZ41" i="16"/>
  <c r="BZ40" i="16"/>
  <c r="BU41" i="16"/>
  <c r="BU42" i="16"/>
  <c r="BU43" i="16"/>
  <c r="BU44" i="16"/>
  <c r="BU40" i="16"/>
  <c r="BP41" i="16"/>
  <c r="BP40" i="16"/>
  <c r="BK40" i="16"/>
  <c r="BF40" i="16"/>
  <c r="CE37" i="16"/>
  <c r="BZ37" i="16"/>
  <c r="BU37" i="16"/>
  <c r="CE36" i="16"/>
  <c r="BZ36" i="16"/>
  <c r="BU36" i="16"/>
  <c r="BO36" i="16"/>
  <c r="BP36" i="16" s="1"/>
  <c r="BK36" i="16"/>
  <c r="BF36" i="16"/>
  <c r="BA36" i="16"/>
  <c r="AQ36" i="16"/>
  <c r="AK36" i="16"/>
  <c r="AF36" i="16"/>
  <c r="AA36" i="16"/>
  <c r="CE35" i="16"/>
  <c r="BZ35" i="16"/>
  <c r="BU35" i="16"/>
  <c r="BO35" i="16"/>
  <c r="BP35" i="16" s="1"/>
  <c r="BK35" i="16"/>
  <c r="BF35" i="16"/>
  <c r="BA35" i="16"/>
  <c r="AQ35" i="16"/>
  <c r="AK35" i="16"/>
  <c r="AF35" i="16"/>
  <c r="AA35" i="16"/>
  <c r="CE33" i="16"/>
  <c r="BZ33" i="16"/>
  <c r="BU33" i="16"/>
  <c r="BO33" i="16"/>
  <c r="BP33" i="16" s="1"/>
  <c r="BK33" i="16"/>
  <c r="BF33" i="16"/>
  <c r="BA33" i="16"/>
  <c r="AV33" i="16"/>
  <c r="AQ33" i="16"/>
  <c r="AK33" i="16"/>
  <c r="AF33" i="16"/>
  <c r="AA33" i="16"/>
  <c r="Q33" i="16"/>
  <c r="L33" i="16"/>
  <c r="G33" i="16"/>
  <c r="CE31" i="16"/>
  <c r="BZ31" i="16"/>
  <c r="BU31" i="16"/>
  <c r="BO31" i="16"/>
  <c r="BP31" i="16" s="1"/>
  <c r="BK31" i="16"/>
  <c r="BF31" i="16"/>
  <c r="BA31" i="16"/>
  <c r="AV31" i="16"/>
  <c r="AQ31" i="16"/>
  <c r="AK31" i="16"/>
  <c r="AF31" i="16"/>
  <c r="BZ30" i="16"/>
  <c r="BU30" i="16"/>
  <c r="BP30" i="16"/>
  <c r="BK30" i="16"/>
  <c r="BF30" i="16"/>
  <c r="BA30" i="16"/>
  <c r="AV30" i="16"/>
  <c r="AQ30" i="16"/>
  <c r="AK30" i="16"/>
  <c r="AF30" i="16"/>
  <c r="AA30" i="16"/>
  <c r="Q30" i="16"/>
  <c r="L30" i="16"/>
  <c r="G30" i="16"/>
  <c r="BU27" i="16"/>
  <c r="BO27" i="16"/>
  <c r="BP27" i="16" s="1"/>
  <c r="BK27" i="16"/>
  <c r="BF27" i="16"/>
  <c r="BA27" i="16"/>
  <c r="AV27" i="16"/>
  <c r="AQ27" i="16"/>
  <c r="AK27" i="16"/>
  <c r="AF27" i="16"/>
  <c r="AA27" i="16"/>
  <c r="Q27" i="16"/>
  <c r="L27" i="16"/>
  <c r="G27" i="16"/>
  <c r="BU26" i="16"/>
  <c r="BO26" i="16"/>
  <c r="BP26" i="16" s="1"/>
  <c r="BK26" i="16"/>
  <c r="BF26" i="16"/>
  <c r="BA26" i="16"/>
  <c r="AV26" i="16"/>
  <c r="AQ26" i="16"/>
  <c r="AK26" i="16"/>
  <c r="AF26" i="16"/>
  <c r="AA26" i="16"/>
  <c r="Q26" i="16"/>
  <c r="L26" i="16"/>
  <c r="G26" i="16"/>
  <c r="CE24" i="16"/>
  <c r="BZ24" i="16"/>
  <c r="BU24" i="16"/>
  <c r="BO24" i="16"/>
  <c r="BP24" i="16" s="1"/>
  <c r="BK24" i="16"/>
  <c r="BF24" i="16"/>
  <c r="BA24" i="16"/>
  <c r="AV24" i="16"/>
  <c r="AQ24" i="16"/>
  <c r="AK24" i="16"/>
  <c r="AF24" i="16"/>
  <c r="AA24" i="16"/>
  <c r="Q24" i="16"/>
  <c r="L24" i="16"/>
  <c r="G24" i="16"/>
  <c r="CE23" i="16"/>
  <c r="BZ23" i="16"/>
  <c r="BU23" i="16"/>
  <c r="BO23" i="16"/>
  <c r="BP23" i="16" s="1"/>
  <c r="BK23" i="16"/>
  <c r="CE22" i="16"/>
  <c r="BZ22" i="16"/>
  <c r="BU22" i="16"/>
  <c r="CE21" i="16"/>
  <c r="BZ21" i="16"/>
  <c r="BU21" i="16"/>
  <c r="BO21" i="16"/>
  <c r="BP21" i="16" s="1"/>
  <c r="BK21" i="16"/>
  <c r="BF21" i="16"/>
  <c r="BA21" i="16"/>
  <c r="AV21" i="16"/>
  <c r="AQ21" i="16"/>
  <c r="AK21" i="16"/>
  <c r="AF21" i="16"/>
  <c r="AA21" i="16"/>
  <c r="Q21" i="16"/>
  <c r="L21" i="16"/>
  <c r="G21" i="16"/>
  <c r="CE20" i="16"/>
  <c r="BZ20" i="16"/>
  <c r="BU20" i="16"/>
  <c r="BO20" i="16"/>
  <c r="BP20" i="16" s="1"/>
  <c r="BK20" i="16"/>
  <c r="BF20" i="16"/>
  <c r="BA20" i="16"/>
  <c r="AV20" i="16"/>
  <c r="AQ20" i="16"/>
  <c r="AK20" i="16"/>
  <c r="AF20" i="16"/>
  <c r="AA20" i="16"/>
  <c r="Q20" i="16"/>
  <c r="L20" i="16"/>
  <c r="G20" i="16"/>
  <c r="CE19" i="16"/>
  <c r="BZ19" i="16"/>
  <c r="BU19" i="16"/>
  <c r="BO19" i="16"/>
  <c r="BP19" i="16" s="1"/>
  <c r="BK19" i="16"/>
  <c r="BF19" i="16"/>
  <c r="BA19" i="16"/>
  <c r="AV19" i="16"/>
  <c r="AQ19" i="16"/>
  <c r="AK19" i="16"/>
  <c r="AF19" i="16"/>
  <c r="AA19" i="16"/>
  <c r="Q19" i="16"/>
  <c r="L19" i="16"/>
  <c r="G19" i="16"/>
  <c r="CE18" i="16"/>
  <c r="BZ18" i="16"/>
  <c r="BU18" i="16"/>
  <c r="CE17" i="16"/>
  <c r="BZ17" i="16"/>
  <c r="BU17" i="16"/>
  <c r="CE16" i="16"/>
  <c r="BZ16" i="16"/>
  <c r="BU16" i="16"/>
  <c r="BO16" i="16"/>
  <c r="BP16" i="16" s="1"/>
  <c r="BK16" i="16"/>
  <c r="BF16" i="16"/>
  <c r="BA16" i="16"/>
  <c r="AV16" i="16"/>
  <c r="AQ16" i="16"/>
  <c r="AK16" i="16"/>
  <c r="AF16" i="16"/>
  <c r="AA16" i="16"/>
  <c r="Q16" i="16"/>
  <c r="L16" i="16"/>
  <c r="G16" i="16"/>
  <c r="CE15" i="16"/>
  <c r="BZ15" i="16"/>
  <c r="BU15" i="16"/>
  <c r="BO15" i="16"/>
  <c r="BP15" i="16" s="1"/>
  <c r="BK15" i="16"/>
  <c r="BF15" i="16"/>
  <c r="BA15" i="16"/>
  <c r="AV15" i="16"/>
  <c r="AQ15" i="16"/>
  <c r="AK15" i="16"/>
  <c r="AF15" i="16"/>
  <c r="AA15" i="16"/>
  <c r="Q15" i="16"/>
  <c r="L15" i="16"/>
  <c r="G15" i="16"/>
  <c r="CE14" i="16"/>
  <c r="BZ14" i="16"/>
  <c r="BU14" i="16"/>
  <c r="BO14" i="16"/>
  <c r="BP14" i="16" s="1"/>
  <c r="BK14" i="16"/>
  <c r="BF14" i="16"/>
  <c r="BA14" i="16"/>
  <c r="AV14" i="16"/>
  <c r="AQ14" i="16"/>
  <c r="AK14" i="16"/>
  <c r="AF14" i="16"/>
  <c r="AA14" i="16"/>
  <c r="Q14" i="16"/>
  <c r="L14" i="16"/>
  <c r="G14" i="16"/>
  <c r="CE13" i="16"/>
  <c r="BZ13" i="16"/>
  <c r="BU13" i="16"/>
  <c r="BO13" i="16"/>
  <c r="BP13" i="16" s="1"/>
  <c r="BK13" i="16"/>
  <c r="BF13" i="16"/>
  <c r="BA13" i="16"/>
  <c r="AV13" i="16"/>
  <c r="AQ13" i="16"/>
  <c r="AK13" i="16"/>
  <c r="AF13" i="16"/>
  <c r="AA13" i="16"/>
  <c r="Q13" i="16"/>
  <c r="L13" i="16"/>
  <c r="G13" i="16"/>
  <c r="CE12" i="16"/>
  <c r="BZ12" i="16"/>
  <c r="BU12" i="16"/>
  <c r="BM12" i="16"/>
  <c r="BK12" i="16"/>
  <c r="BF12" i="16"/>
  <c r="BA12" i="16"/>
  <c r="AV12" i="16"/>
  <c r="AQ12" i="16"/>
  <c r="AK12" i="16"/>
  <c r="AK11" i="16" s="1"/>
  <c r="AF12" i="16"/>
  <c r="AA12" i="16"/>
  <c r="Q12" i="16"/>
  <c r="L12" i="16"/>
  <c r="G12" i="16"/>
  <c r="CA11" i="16"/>
  <c r="BY11" i="16"/>
  <c r="BX11" i="16"/>
  <c r="BW11" i="16"/>
  <c r="BV11" i="16"/>
  <c r="BT11" i="16"/>
  <c r="BS11" i="16"/>
  <c r="BR11" i="16"/>
  <c r="BQ11" i="16"/>
  <c r="BN11" i="16"/>
  <c r="BL11" i="16"/>
  <c r="BJ11" i="16"/>
  <c r="BI11" i="16"/>
  <c r="BH11" i="16"/>
  <c r="BG11" i="16"/>
  <c r="BE11" i="16"/>
  <c r="BD11" i="16"/>
  <c r="BC11" i="16"/>
  <c r="BB11" i="16"/>
  <c r="AZ11" i="16"/>
  <c r="AY11" i="16"/>
  <c r="AX11" i="16"/>
  <c r="AW11" i="16"/>
  <c r="AU11" i="16"/>
  <c r="AT11" i="16"/>
  <c r="AS11" i="16"/>
  <c r="AR11" i="16"/>
  <c r="AP11" i="16"/>
  <c r="AO11" i="16"/>
  <c r="AN11" i="16"/>
  <c r="AM11" i="16"/>
  <c r="AJ11" i="16"/>
  <c r="AI11" i="16"/>
  <c r="AH11" i="16"/>
  <c r="AG11" i="16"/>
  <c r="AE11" i="16"/>
  <c r="AD11" i="16"/>
  <c r="AC11" i="16"/>
  <c r="AB11" i="16"/>
  <c r="Z11" i="16"/>
  <c r="Y11" i="16"/>
  <c r="X11" i="16"/>
  <c r="W11" i="16"/>
  <c r="V11" i="16"/>
  <c r="U11" i="16"/>
  <c r="T11" i="16"/>
  <c r="S11" i="16"/>
  <c r="R11" i="16"/>
  <c r="P11" i="16"/>
  <c r="O11" i="16"/>
  <c r="N11" i="16"/>
  <c r="M11" i="16"/>
  <c r="K11" i="16"/>
  <c r="J11" i="16"/>
  <c r="I11" i="16"/>
  <c r="H11" i="16"/>
  <c r="F11" i="16"/>
  <c r="E11" i="16"/>
  <c r="D11" i="16"/>
  <c r="C11" i="16"/>
  <c r="CE10" i="16"/>
  <c r="BZ10" i="16"/>
  <c r="BU10" i="16"/>
  <c r="BO10" i="16"/>
  <c r="BP10" i="16" s="1"/>
  <c r="BK10" i="16"/>
  <c r="BF10" i="16"/>
  <c r="BA10" i="16"/>
  <c r="AV10" i="16"/>
  <c r="AQ10" i="16"/>
  <c r="AH10" i="16"/>
  <c r="AK10" i="16" s="1"/>
  <c r="AF10" i="16"/>
  <c r="AA10" i="16"/>
  <c r="Q10" i="16"/>
  <c r="L10" i="16"/>
  <c r="G10" i="16"/>
  <c r="CE9" i="16"/>
  <c r="BZ9" i="16"/>
  <c r="BU9" i="16"/>
  <c r="CE8" i="16"/>
  <c r="BZ8" i="16"/>
  <c r="BU8" i="16"/>
  <c r="BO8" i="16"/>
  <c r="BK8" i="16"/>
  <c r="BF8" i="16"/>
  <c r="BA8" i="16"/>
  <c r="AV8" i="16"/>
  <c r="AQ8" i="16"/>
  <c r="AK8" i="16"/>
  <c r="AF8" i="16"/>
  <c r="AA8" i="16"/>
  <c r="Q8" i="16"/>
  <c r="L8" i="16"/>
  <c r="G8" i="16"/>
  <c r="CE7" i="16"/>
  <c r="BZ7" i="16"/>
  <c r="BU7" i="16"/>
  <c r="BO7" i="16"/>
  <c r="BP7" i="16" s="1"/>
  <c r="BK7" i="16"/>
  <c r="BF7" i="16"/>
  <c r="BA7" i="16"/>
  <c r="AV7" i="16"/>
  <c r="AQ7" i="16"/>
  <c r="AK7" i="16"/>
  <c r="AF7" i="16"/>
  <c r="AA7" i="16"/>
  <c r="Q7" i="16"/>
  <c r="L7" i="16"/>
  <c r="G7" i="16"/>
  <c r="CE6" i="16"/>
  <c r="BZ6" i="16"/>
  <c r="BU6" i="16"/>
  <c r="BO6" i="16"/>
  <c r="BP6" i="16" s="1"/>
  <c r="BK6" i="16"/>
  <c r="BF6" i="16"/>
  <c r="BA6" i="16"/>
  <c r="AV6" i="16"/>
  <c r="AQ6" i="16"/>
  <c r="AK6" i="16"/>
  <c r="AF6" i="16"/>
  <c r="AA6" i="16"/>
  <c r="Q6" i="16"/>
  <c r="L6" i="16"/>
  <c r="G6" i="16"/>
  <c r="CA5" i="16"/>
  <c r="BY5" i="16"/>
  <c r="BX5" i="16"/>
  <c r="BW5" i="16"/>
  <c r="BV5" i="16"/>
  <c r="BV25" i="16" s="1"/>
  <c r="BV38" i="16" s="1"/>
  <c r="BV45" i="16" s="1"/>
  <c r="BT5" i="16"/>
  <c r="BS5" i="16"/>
  <c r="BR5" i="16"/>
  <c r="BR25" i="16" s="1"/>
  <c r="BR32" i="16" s="1"/>
  <c r="BR34" i="16" s="1"/>
  <c r="BQ5" i="16"/>
  <c r="BN5" i="16"/>
  <c r="BM5" i="16"/>
  <c r="BL5" i="16"/>
  <c r="BJ5" i="16"/>
  <c r="BI5" i="16"/>
  <c r="BI25" i="16" s="1"/>
  <c r="BH5" i="16"/>
  <c r="BG5" i="16"/>
  <c r="BE5" i="16"/>
  <c r="BD5" i="16"/>
  <c r="BC5" i="16"/>
  <c r="BB5" i="16"/>
  <c r="BB25" i="16" s="1"/>
  <c r="BB32" i="16" s="1"/>
  <c r="BB34" i="16" s="1"/>
  <c r="AZ5" i="16"/>
  <c r="AY5" i="16"/>
  <c r="AY25" i="16" s="1"/>
  <c r="AY38" i="16" s="1"/>
  <c r="AY39" i="16" s="1"/>
  <c r="AX5" i="16"/>
  <c r="AW5" i="16"/>
  <c r="AU5" i="16"/>
  <c r="AT5" i="16"/>
  <c r="AS5" i="16"/>
  <c r="AR5" i="16"/>
  <c r="AP5" i="16"/>
  <c r="AO5" i="16"/>
  <c r="AN5" i="16"/>
  <c r="AM5" i="16"/>
  <c r="AJ5" i="16"/>
  <c r="AI5" i="16"/>
  <c r="AG5" i="16"/>
  <c r="AG25" i="16" s="1"/>
  <c r="AE5" i="16"/>
  <c r="AD5" i="16"/>
  <c r="AD25" i="16" s="1"/>
  <c r="AD32" i="16" s="1"/>
  <c r="AD34" i="16" s="1"/>
  <c r="AD37" i="16" s="1"/>
  <c r="AC5" i="16"/>
  <c r="AB5" i="16"/>
  <c r="Z5" i="16"/>
  <c r="Z25" i="16" s="1"/>
  <c r="Y5" i="16"/>
  <c r="X5" i="16"/>
  <c r="W5" i="16"/>
  <c r="V5" i="16"/>
  <c r="U5" i="16"/>
  <c r="T5" i="16"/>
  <c r="T25" i="16" s="1"/>
  <c r="S5" i="16"/>
  <c r="R5" i="16"/>
  <c r="R25" i="16" s="1"/>
  <c r="R38" i="16" s="1"/>
  <c r="R39" i="16" s="1"/>
  <c r="P5" i="16"/>
  <c r="O5" i="16"/>
  <c r="O25" i="16" s="1"/>
  <c r="N5" i="16"/>
  <c r="M5" i="16"/>
  <c r="K5" i="16"/>
  <c r="J5" i="16"/>
  <c r="J25" i="16" s="1"/>
  <c r="I5" i="16"/>
  <c r="H5" i="16"/>
  <c r="H25" i="16" s="1"/>
  <c r="F5" i="16"/>
  <c r="E5" i="16"/>
  <c r="D5" i="16"/>
  <c r="C5" i="16"/>
  <c r="BB37" i="16" l="1"/>
  <c r="AM5" i="4"/>
  <c r="BU5" i="7"/>
  <c r="U25" i="16"/>
  <c r="U32" i="16" s="1"/>
  <c r="U34" i="16" s="1"/>
  <c r="U37" i="16" s="1"/>
  <c r="AM25" i="16"/>
  <c r="E25" i="16"/>
  <c r="E32" i="16" s="1"/>
  <c r="E34" i="16" s="1"/>
  <c r="AO25" i="16"/>
  <c r="AO38" i="16" s="1"/>
  <c r="AO39" i="16" s="1"/>
  <c r="BG25" i="16"/>
  <c r="BG38" i="16" s="1"/>
  <c r="K25" i="16"/>
  <c r="AW25" i="16"/>
  <c r="AW38" i="16" s="1"/>
  <c r="AW39" i="16" s="1"/>
  <c r="BN25" i="16"/>
  <c r="BN38" i="16" s="1"/>
  <c r="M25" i="16"/>
  <c r="M32" i="16" s="1"/>
  <c r="M34" i="16" s="1"/>
  <c r="BU5" i="16"/>
  <c r="BO5" i="16"/>
  <c r="BJ25" i="16"/>
  <c r="BJ38" i="16" s="1"/>
  <c r="AI25" i="16"/>
  <c r="AT25" i="16"/>
  <c r="AT32" i="16" s="1"/>
  <c r="AT34" i="16" s="1"/>
  <c r="BD25" i="16"/>
  <c r="BD38" i="16" s="1"/>
  <c r="BD39" i="16" s="1"/>
  <c r="N25" i="16"/>
  <c r="N38" i="16" s="1"/>
  <c r="N39" i="16" s="1"/>
  <c r="BZ11" i="16"/>
  <c r="F25" i="16"/>
  <c r="P25" i="16"/>
  <c r="P32" i="16" s="1"/>
  <c r="P34" i="16" s="1"/>
  <c r="Y25" i="16"/>
  <c r="Y38" i="16" s="1"/>
  <c r="Y39" i="16" s="1"/>
  <c r="AJ25" i="16"/>
  <c r="AJ38" i="16" s="1"/>
  <c r="AJ39" i="16" s="1"/>
  <c r="AU25" i="16"/>
  <c r="AU38" i="16" s="1"/>
  <c r="AU39" i="16" s="1"/>
  <c r="BE25" i="16"/>
  <c r="BE38" i="16" s="1"/>
  <c r="BQ25" i="16"/>
  <c r="BQ38" i="16" s="1"/>
  <c r="BQ45" i="16" s="1"/>
  <c r="AQ11" i="16"/>
  <c r="I25" i="16"/>
  <c r="I38" i="16" s="1"/>
  <c r="I39" i="16" s="1"/>
  <c r="S25" i="16"/>
  <c r="AB25" i="16"/>
  <c r="AN25" i="16"/>
  <c r="AN32" i="16" s="1"/>
  <c r="AN34" i="16" s="1"/>
  <c r="AN37" i="16" s="1"/>
  <c r="AX25" i="16"/>
  <c r="AX32" i="16" s="1"/>
  <c r="AX34" i="16" s="1"/>
  <c r="BH25" i="16"/>
  <c r="BH38" i="16" s="1"/>
  <c r="BS25" i="16"/>
  <c r="BS38" i="16" s="1"/>
  <c r="BS45" i="16" s="1"/>
  <c r="AC25" i="16"/>
  <c r="AC32" i="16" s="1"/>
  <c r="AC34" i="16" s="1"/>
  <c r="AC37" i="16" s="1"/>
  <c r="BG32" i="16"/>
  <c r="BG34" i="16" s="1"/>
  <c r="CE11" i="16"/>
  <c r="C25" i="16"/>
  <c r="C38" i="16" s="1"/>
  <c r="C39" i="16" s="1"/>
  <c r="V25" i="16"/>
  <c r="V38" i="16" s="1"/>
  <c r="V39" i="16" s="1"/>
  <c r="AE25" i="16"/>
  <c r="AE38" i="16" s="1"/>
  <c r="AE39" i="16" s="1"/>
  <c r="AP25" i="16"/>
  <c r="AP38" i="16" s="1"/>
  <c r="AP39" i="16" s="1"/>
  <c r="BK11" i="16"/>
  <c r="BT25" i="16"/>
  <c r="BT38" i="16" s="1"/>
  <c r="BT45" i="16" s="1"/>
  <c r="W25" i="16"/>
  <c r="W38" i="16" s="1"/>
  <c r="W39" i="16" s="1"/>
  <c r="AR25" i="16"/>
  <c r="AR38" i="16" s="1"/>
  <c r="AR39" i="16" s="1"/>
  <c r="BL25" i="16"/>
  <c r="BL38" i="16" s="1"/>
  <c r="L5" i="16"/>
  <c r="BF5" i="16"/>
  <c r="X25" i="16"/>
  <c r="X32" i="16" s="1"/>
  <c r="X34" i="16" s="1"/>
  <c r="X37" i="16" s="1"/>
  <c r="AH5" i="16"/>
  <c r="AH25" i="16" s="1"/>
  <c r="AH38" i="16" s="1"/>
  <c r="AH39" i="16" s="1"/>
  <c r="AS25" i="16"/>
  <c r="BC25" i="16"/>
  <c r="BC32" i="16" s="1"/>
  <c r="BC34" i="16" s="1"/>
  <c r="BC37" i="16" s="1"/>
  <c r="BW25" i="16"/>
  <c r="BW38" i="16" s="1"/>
  <c r="BW45" i="16" s="1"/>
  <c r="AA5" i="16"/>
  <c r="CE5" i="16"/>
  <c r="BX25" i="16"/>
  <c r="G11" i="16"/>
  <c r="BY25" i="16"/>
  <c r="BY32" i="16" s="1"/>
  <c r="BY34" i="16" s="1"/>
  <c r="BZ5" i="16"/>
  <c r="BF11" i="16"/>
  <c r="G5" i="16"/>
  <c r="G25" i="16" s="1"/>
  <c r="G38" i="16" s="1"/>
  <c r="G39" i="16" s="1"/>
  <c r="BA5" i="16"/>
  <c r="L11" i="16"/>
  <c r="Q5" i="16"/>
  <c r="BK5" i="16"/>
  <c r="Q11" i="16"/>
  <c r="AF5" i="16"/>
  <c r="AQ5" i="16"/>
  <c r="AQ25" i="16" s="1"/>
  <c r="AQ38" i="16" s="1"/>
  <c r="AQ39" i="16" s="1"/>
  <c r="AV11" i="16"/>
  <c r="BY38" i="16"/>
  <c r="BY45" i="16" s="1"/>
  <c r="BY46" i="16" s="1"/>
  <c r="C32" i="16"/>
  <c r="C34" i="16" s="1"/>
  <c r="H38" i="16"/>
  <c r="H39" i="16" s="1"/>
  <c r="H32" i="16"/>
  <c r="H34" i="16" s="1"/>
  <c r="F38" i="16"/>
  <c r="F39" i="16" s="1"/>
  <c r="F32" i="16"/>
  <c r="F34" i="16" s="1"/>
  <c r="AG38" i="16"/>
  <c r="AG39" i="16" s="1"/>
  <c r="AG32" i="16"/>
  <c r="AG34" i="16" s="1"/>
  <c r="AG37" i="16" s="1"/>
  <c r="AX38" i="16"/>
  <c r="AX39" i="16" s="1"/>
  <c r="T38" i="16"/>
  <c r="T39" i="16" s="1"/>
  <c r="T32" i="16"/>
  <c r="T34" i="16" s="1"/>
  <c r="AB38" i="16"/>
  <c r="AB39" i="16" s="1"/>
  <c r="AB32" i="16"/>
  <c r="AB34" i="16" s="1"/>
  <c r="AB37" i="16" s="1"/>
  <c r="BV39" i="16"/>
  <c r="BY4" i="7" s="1"/>
  <c r="AA11" i="16"/>
  <c r="BO12" i="16"/>
  <c r="BO11" i="16" s="1"/>
  <c r="BO25" i="16" s="1"/>
  <c r="BM11" i="16"/>
  <c r="BM25" i="16" s="1"/>
  <c r="U35" i="16"/>
  <c r="BG39" i="16"/>
  <c r="BJ4" i="7" s="1"/>
  <c r="BU11" i="16"/>
  <c r="BU25" i="16" s="1"/>
  <c r="AF11" i="16"/>
  <c r="BV32" i="16"/>
  <c r="BV34" i="16" s="1"/>
  <c r="BT32" i="16"/>
  <c r="BT34" i="16" s="1"/>
  <c r="BC38" i="16"/>
  <c r="AM32" i="16"/>
  <c r="AM34" i="16" s="1"/>
  <c r="AM37" i="16" s="1"/>
  <c r="AM38" i="16"/>
  <c r="AM39" i="16" s="1"/>
  <c r="BX38" i="16"/>
  <c r="BX45" i="16" s="1"/>
  <c r="BX32" i="16"/>
  <c r="BX34" i="16" s="1"/>
  <c r="O38" i="16"/>
  <c r="O39" i="16" s="1"/>
  <c r="O32" i="16"/>
  <c r="O34" i="16" s="1"/>
  <c r="AO32" i="16"/>
  <c r="AO34" i="16" s="1"/>
  <c r="Z38" i="16"/>
  <c r="Z39" i="16" s="1"/>
  <c r="Z32" i="16"/>
  <c r="Z34" i="16" s="1"/>
  <c r="Z37" i="16" s="1"/>
  <c r="BZ25" i="16"/>
  <c r="I32" i="16"/>
  <c r="I34" i="16" s="1"/>
  <c r="AU32" i="16"/>
  <c r="AU34" i="16" s="1"/>
  <c r="U38" i="16"/>
  <c r="U39" i="16" s="1"/>
  <c r="AI38" i="16"/>
  <c r="AI39" i="16" s="1"/>
  <c r="AI32" i="16"/>
  <c r="AI34" i="16" s="1"/>
  <c r="AI37" i="16" s="1"/>
  <c r="K38" i="16"/>
  <c r="K39" i="16" s="1"/>
  <c r="K32" i="16"/>
  <c r="K34" i="16" s="1"/>
  <c r="D25" i="16"/>
  <c r="W32" i="16"/>
  <c r="W34" i="16" s="1"/>
  <c r="AZ25" i="16"/>
  <c r="CA25" i="16"/>
  <c r="AV5" i="16"/>
  <c r="AD38" i="16"/>
  <c r="AD39" i="16" s="1"/>
  <c r="AS38" i="16"/>
  <c r="AS39" i="16" s="1"/>
  <c r="AS32" i="16"/>
  <c r="AS34" i="16" s="1"/>
  <c r="S38" i="16"/>
  <c r="S39" i="16" s="1"/>
  <c r="S32" i="16"/>
  <c r="S34" i="16" s="1"/>
  <c r="J38" i="16"/>
  <c r="J39" i="16" s="1"/>
  <c r="J32" i="16"/>
  <c r="J34" i="16" s="1"/>
  <c r="P38" i="16"/>
  <c r="P39" i="16" s="1"/>
  <c r="BI38" i="16"/>
  <c r="BI32" i="16"/>
  <c r="BI34" i="16" s="1"/>
  <c r="BA11" i="16"/>
  <c r="E37" i="16"/>
  <c r="E35" i="16"/>
  <c r="R32" i="16"/>
  <c r="R34" i="16" s="1"/>
  <c r="Q5" i="4" s="1"/>
  <c r="BD32" i="16"/>
  <c r="BD34" i="16" s="1"/>
  <c r="BD37" i="16" s="1"/>
  <c r="M37" i="16"/>
  <c r="AN38" i="16"/>
  <c r="AN39" i="16" s="1"/>
  <c r="AC38" i="16"/>
  <c r="AC39" i="16" s="1"/>
  <c r="AY32" i="16"/>
  <c r="AY34" i="16" s="1"/>
  <c r="AK5" i="16"/>
  <c r="AK25" i="16" s="1"/>
  <c r="BP8" i="16"/>
  <c r="BP5" i="16" s="1"/>
  <c r="E38" i="16"/>
  <c r="E39" i="16" s="1"/>
  <c r="BR38" i="16"/>
  <c r="BR45" i="16" s="1"/>
  <c r="BB38" i="16"/>
  <c r="BB39" i="16" s="1"/>
  <c r="BP13" i="13"/>
  <c r="BY5" i="7" l="1"/>
  <c r="BP12" i="16"/>
  <c r="BP11" i="16" s="1"/>
  <c r="BG37" i="16"/>
  <c r="BJ5" i="7"/>
  <c r="AQ5" i="4"/>
  <c r="BI37" i="16"/>
  <c r="BL5" i="7"/>
  <c r="BU45" i="16"/>
  <c r="M35" i="16"/>
  <c r="W37" i="16"/>
  <c r="S5" i="4"/>
  <c r="T5" i="4"/>
  <c r="CA5" i="7"/>
  <c r="BW5" i="7"/>
  <c r="CB5" i="7"/>
  <c r="BZ45" i="16"/>
  <c r="BN32" i="16"/>
  <c r="BN34" i="16" s="1"/>
  <c r="BJ32" i="16"/>
  <c r="BJ34" i="16" s="1"/>
  <c r="AW32" i="16"/>
  <c r="AW34" i="16" s="1"/>
  <c r="AW37" i="16" s="1"/>
  <c r="BF25" i="16"/>
  <c r="AJ32" i="16"/>
  <c r="AJ34" i="16" s="1"/>
  <c r="AJ37" i="16" s="1"/>
  <c r="AF25" i="16"/>
  <c r="Y32" i="16"/>
  <c r="Y34" i="16" s="1"/>
  <c r="Y37" i="16" s="1"/>
  <c r="X38" i="16"/>
  <c r="X39" i="16" s="1"/>
  <c r="M38" i="16"/>
  <c r="M39" i="16" s="1"/>
  <c r="BS32" i="16"/>
  <c r="BS34" i="16" s="1"/>
  <c r="BW39" i="16"/>
  <c r="BZ4" i="7" s="1"/>
  <c r="AH32" i="16"/>
  <c r="AH34" i="16" s="1"/>
  <c r="AH37" i="16" s="1"/>
  <c r="CE25" i="16"/>
  <c r="CE38" i="16" s="1"/>
  <c r="CE39" i="16" s="1"/>
  <c r="BE32" i="16"/>
  <c r="BE34" i="16" s="1"/>
  <c r="BE37" i="16" s="1"/>
  <c r="BW32" i="16"/>
  <c r="BW34" i="16" s="1"/>
  <c r="N32" i="16"/>
  <c r="N34" i="16" s="1"/>
  <c r="L5" i="4" s="1"/>
  <c r="BH32" i="16"/>
  <c r="BH34" i="16" s="1"/>
  <c r="BQ32" i="16"/>
  <c r="BQ34" i="16" s="1"/>
  <c r="BL32" i="16"/>
  <c r="BL34" i="16" s="1"/>
  <c r="AT38" i="16"/>
  <c r="AT39" i="16" s="1"/>
  <c r="V32" i="16"/>
  <c r="V34" i="16" s="1"/>
  <c r="BA25" i="16"/>
  <c r="BA32" i="16" s="1"/>
  <c r="BA34" i="16" s="1"/>
  <c r="BA37" i="16" s="1"/>
  <c r="G32" i="16"/>
  <c r="G34" i="16" s="1"/>
  <c r="G35" i="16" s="1"/>
  <c r="AA25" i="16"/>
  <c r="L25" i="16"/>
  <c r="L32" i="16" s="1"/>
  <c r="L34" i="16" s="1"/>
  <c r="AR32" i="16"/>
  <c r="AR34" i="16" s="1"/>
  <c r="AP32" i="16"/>
  <c r="AP34" i="16" s="1"/>
  <c r="BK25" i="16"/>
  <c r="BK38" i="16" s="1"/>
  <c r="BK39" i="16" s="1"/>
  <c r="BN4" i="7" s="1"/>
  <c r="BP25" i="16"/>
  <c r="BP32" i="16" s="1"/>
  <c r="BP34" i="16" s="1"/>
  <c r="AE32" i="16"/>
  <c r="AE34" i="16" s="1"/>
  <c r="AE37" i="16" s="1"/>
  <c r="BF38" i="16"/>
  <c r="BF32" i="16"/>
  <c r="BF34" i="16" s="1"/>
  <c r="BF37" i="16" s="1"/>
  <c r="Q25" i="16"/>
  <c r="AQ32" i="16"/>
  <c r="AQ34" i="16" s="1"/>
  <c r="AQ37" i="16" s="1"/>
  <c r="AV25" i="16"/>
  <c r="AV32" i="16" s="1"/>
  <c r="AV34" i="16" s="1"/>
  <c r="BA38" i="16"/>
  <c r="BA39" i="16" s="1"/>
  <c r="AF38" i="16"/>
  <c r="AF39" i="16" s="1"/>
  <c r="AF32" i="16"/>
  <c r="AF34" i="16" s="1"/>
  <c r="AF37" i="16" s="1"/>
  <c r="AA38" i="16"/>
  <c r="AA39" i="16" s="1"/>
  <c r="AA32" i="16"/>
  <c r="AA34" i="16" s="1"/>
  <c r="BT39" i="16"/>
  <c r="BW4" i="7" s="1"/>
  <c r="BN39" i="16"/>
  <c r="BQ4" i="7" s="1"/>
  <c r="BU38" i="16"/>
  <c r="BU39" i="16" s="1"/>
  <c r="BX4" i="7" s="1"/>
  <c r="BU32" i="16"/>
  <c r="BU34" i="16" s="1"/>
  <c r="BM38" i="16"/>
  <c r="BM32" i="16"/>
  <c r="BM34" i="16" s="1"/>
  <c r="J37" i="16"/>
  <c r="J35" i="16"/>
  <c r="CA38" i="16"/>
  <c r="CA45" i="16" s="1"/>
  <c r="CA46" i="16" s="1"/>
  <c r="CA32" i="16"/>
  <c r="D38" i="16"/>
  <c r="D39" i="16" s="1"/>
  <c r="D32" i="16"/>
  <c r="D34" i="16" s="1"/>
  <c r="I37" i="16"/>
  <c r="I35" i="16"/>
  <c r="BX39" i="16"/>
  <c r="CA4" i="7" s="1"/>
  <c r="BE39" i="16"/>
  <c r="BY39" i="16"/>
  <c r="CB4" i="7" s="1"/>
  <c r="BR39" i="16"/>
  <c r="BU4" i="7" s="1"/>
  <c r="BI39" i="16"/>
  <c r="BL4" i="7" s="1"/>
  <c r="BO38" i="16"/>
  <c r="BO32" i="16"/>
  <c r="BO34" i="16" s="1"/>
  <c r="S35" i="16"/>
  <c r="S37" i="16"/>
  <c r="BH39" i="16"/>
  <c r="BK4" i="7" s="1"/>
  <c r="K37" i="16"/>
  <c r="K35" i="16"/>
  <c r="BL39" i="16"/>
  <c r="BO4" i="7" s="1"/>
  <c r="BJ39" i="16"/>
  <c r="BM4" i="7" s="1"/>
  <c r="F35" i="16"/>
  <c r="F37" i="16"/>
  <c r="C37" i="16"/>
  <c r="C35" i="16"/>
  <c r="BZ32" i="16"/>
  <c r="BZ34" i="16" s="1"/>
  <c r="BZ38" i="16"/>
  <c r="BZ39" i="16" s="1"/>
  <c r="CC4" i="7" s="1"/>
  <c r="BW46" i="16"/>
  <c r="BP38" i="16"/>
  <c r="BP39" i="16" s="1"/>
  <c r="BS4" i="7" s="1"/>
  <c r="AK32" i="16"/>
  <c r="AK34" i="16" s="1"/>
  <c r="AK37" i="16" s="1"/>
  <c r="AK38" i="16"/>
  <c r="AK39" i="16" s="1"/>
  <c r="P35" i="16"/>
  <c r="P37" i="16"/>
  <c r="BS39" i="16"/>
  <c r="BV4" i="7" s="1"/>
  <c r="BC39" i="16"/>
  <c r="T37" i="16"/>
  <c r="T35" i="16"/>
  <c r="H35" i="16"/>
  <c r="H37" i="16"/>
  <c r="BF39" i="16"/>
  <c r="N37" i="16"/>
  <c r="N35" i="16"/>
  <c r="AZ38" i="16"/>
  <c r="AZ39" i="16" s="1"/>
  <c r="AZ32" i="16"/>
  <c r="AZ34" i="16" s="1"/>
  <c r="R37" i="16"/>
  <c r="R35" i="16"/>
  <c r="BQ39" i="16"/>
  <c r="BT4" i="7" s="1"/>
  <c r="O35" i="16"/>
  <c r="O37" i="16"/>
  <c r="BM37" i="16" l="1"/>
  <c r="BP5" i="7"/>
  <c r="AA37" i="16"/>
  <c r="V5" i="4"/>
  <c r="BL37" i="16"/>
  <c r="BO5" i="7"/>
  <c r="AU5" i="4"/>
  <c r="AW5" i="4"/>
  <c r="AV5" i="4"/>
  <c r="BV5" i="7"/>
  <c r="BN37" i="16"/>
  <c r="BO37" i="16" s="1"/>
  <c r="BQ5" i="7"/>
  <c r="AR5" i="4"/>
  <c r="AS5" i="4" s="1"/>
  <c r="CC5" i="7"/>
  <c r="BR5" i="7"/>
  <c r="V35" i="16"/>
  <c r="R5" i="4"/>
  <c r="BT5" i="7"/>
  <c r="AY5" i="4"/>
  <c r="BZ5" i="7"/>
  <c r="BX5" i="7"/>
  <c r="AX5" i="4"/>
  <c r="BS5" i="7"/>
  <c r="BH37" i="16"/>
  <c r="BK5" i="7"/>
  <c r="BJ37" i="16"/>
  <c r="BM5" i="7"/>
  <c r="U5" i="4"/>
  <c r="G37" i="16"/>
  <c r="CE32" i="16"/>
  <c r="CE34" i="16" s="1"/>
  <c r="V37" i="16"/>
  <c r="AV38" i="16"/>
  <c r="AV39" i="16" s="1"/>
  <c r="L35" i="16"/>
  <c r="L37" i="16"/>
  <c r="L38" i="16"/>
  <c r="L39" i="16" s="1"/>
  <c r="BK32" i="16"/>
  <c r="BK34" i="16" s="1"/>
  <c r="Q38" i="16"/>
  <c r="Q39" i="16" s="1"/>
  <c r="Q32" i="16"/>
  <c r="Q34" i="16" s="1"/>
  <c r="BO39" i="16"/>
  <c r="BR4" i="7" s="1"/>
  <c r="CA34" i="16"/>
  <c r="CA39" i="16"/>
  <c r="CD4" i="7" s="1"/>
  <c r="BX46" i="16"/>
  <c r="BV46" i="16"/>
  <c r="D35" i="16"/>
  <c r="D37" i="16"/>
  <c r="BM39" i="16"/>
  <c r="BP4" i="7" s="1"/>
  <c r="BK37" i="16" l="1"/>
  <c r="AT5" i="4"/>
  <c r="BN5" i="7"/>
  <c r="CD5" i="7"/>
  <c r="Q37" i="16"/>
  <c r="Q35" i="16"/>
  <c r="BZ46" i="16"/>
  <c r="CE45" i="16" l="1"/>
  <c r="CE46" i="16" s="1"/>
  <c r="CE36" i="2" l="1"/>
  <c r="CE35" i="2"/>
  <c r="CE34" i="2"/>
  <c r="CE33" i="2"/>
  <c r="CE31" i="2"/>
  <c r="CE30" i="2"/>
  <c r="CE29" i="2"/>
  <c r="CE28" i="2"/>
  <c r="CE27" i="2"/>
  <c r="CE25" i="2"/>
  <c r="CE24" i="2"/>
  <c r="CE23" i="2"/>
  <c r="CE22" i="2"/>
  <c r="CE21" i="2"/>
  <c r="CE19" i="2"/>
  <c r="CE18" i="2"/>
  <c r="CE17" i="2"/>
  <c r="CE16" i="2"/>
  <c r="CE15" i="2"/>
  <c r="CE14" i="2"/>
  <c r="CE13" i="2"/>
  <c r="CE12" i="2"/>
  <c r="CE11" i="2" s="1"/>
  <c r="CE10" i="2"/>
  <c r="CE9" i="2"/>
  <c r="CE8" i="2"/>
  <c r="CE7" i="2"/>
  <c r="CE6" i="2"/>
  <c r="CE5" i="2"/>
  <c r="CA32" i="2"/>
  <c r="CA26" i="2"/>
  <c r="CA20" i="2"/>
  <c r="CA11" i="2"/>
  <c r="CA5" i="2"/>
  <c r="CE26" i="2" l="1"/>
  <c r="CE32" i="2"/>
  <c r="CE37" i="2" s="1"/>
  <c r="CE20" i="2"/>
  <c r="CA37" i="2"/>
  <c r="R4" i="15" l="1"/>
  <c r="BG75" i="4" l="1"/>
  <c r="BG60" i="4"/>
  <c r="BG6" i="4"/>
  <c r="BG38" i="4" s="1"/>
  <c r="BG41" i="4" s="1"/>
  <c r="BG76" i="4" l="1"/>
  <c r="BC77" i="3"/>
  <c r="BC64" i="3"/>
  <c r="BC53" i="3"/>
  <c r="BC55" i="3" s="1"/>
  <c r="CD7" i="7" s="1"/>
  <c r="BC38" i="3"/>
  <c r="CD8" i="7" s="1"/>
  <c r="BC24" i="3"/>
  <c r="BC80" i="3" l="1"/>
  <c r="BC41" i="3"/>
  <c r="CD6" i="7" s="1"/>
  <c r="BP28" i="13"/>
  <c r="BP19" i="13"/>
  <c r="BC81" i="3" l="1"/>
  <c r="CD9" i="7"/>
  <c r="V7" i="15"/>
  <c r="V6" i="15"/>
  <c r="V5" i="15"/>
  <c r="V4" i="15" l="1"/>
  <c r="AE16" i="9"/>
  <c r="AE6" i="9"/>
  <c r="BJ12" i="13" l="1"/>
  <c r="BE12" i="13"/>
  <c r="AZ12" i="13"/>
  <c r="BJ11" i="13"/>
  <c r="BE11" i="13"/>
  <c r="AZ11" i="13"/>
  <c r="BB38" i="3" l="1"/>
  <c r="BF6" i="4" l="1"/>
  <c r="BE6" i="4" l="1"/>
  <c r="BF75" i="4"/>
  <c r="BF60" i="4"/>
  <c r="BF38" i="4" l="1"/>
  <c r="P4" i="15"/>
  <c r="BF41" i="4" l="1"/>
  <c r="AD16" i="9"/>
  <c r="AD6" i="9"/>
  <c r="BF76" i="4" l="1"/>
  <c r="BB77" i="3"/>
  <c r="BB64" i="3"/>
  <c r="BB80" i="3" l="1"/>
  <c r="BB53" i="3"/>
  <c r="BB55" i="3" l="1"/>
  <c r="CB8" i="7"/>
  <c r="CC8" i="7"/>
  <c r="BB24" i="3"/>
  <c r="BB41" i="3" s="1"/>
  <c r="CB6" i="7" l="1"/>
  <c r="CC6" i="7"/>
  <c r="CB7" i="7"/>
  <c r="CC7" i="7"/>
  <c r="BB81" i="3"/>
  <c r="CB9" i="7"/>
  <c r="CC9" i="7"/>
  <c r="BZ10" i="2" l="1"/>
  <c r="BX6" i="2"/>
  <c r="BE75" i="4" l="1"/>
  <c r="BE60" i="4"/>
  <c r="BE38" i="4"/>
  <c r="BE41" i="4" s="1"/>
  <c r="BE76" i="4" l="1"/>
  <c r="BX9" i="2"/>
  <c r="BX8" i="2"/>
  <c r="BX7" i="2"/>
  <c r="BA38" i="3" l="1"/>
  <c r="BA24" i="3"/>
  <c r="BA41" i="3" l="1"/>
  <c r="CA6" i="7" s="1"/>
  <c r="BA77" i="3"/>
  <c r="BA64" i="3"/>
  <c r="BA53" i="3"/>
  <c r="CA8" i="7" l="1"/>
  <c r="BA55" i="3"/>
  <c r="CA7" i="7" s="1"/>
  <c r="BA80" i="3"/>
  <c r="CA9" i="7" s="1"/>
  <c r="O4" i="15"/>
  <c r="N4" i="15"/>
  <c r="BA81" i="3" l="1"/>
  <c r="AC16" i="9" l="1"/>
  <c r="BD6" i="4" l="1"/>
  <c r="AZ77" i="3" l="1"/>
  <c r="AZ64" i="3"/>
  <c r="AZ53" i="3"/>
  <c r="AZ55" i="3" s="1"/>
  <c r="BZ7" i="7" s="1"/>
  <c r="AZ38" i="3"/>
  <c r="BZ8" i="7" s="1"/>
  <c r="AZ24" i="3"/>
  <c r="AZ80" i="3" l="1"/>
  <c r="AZ81" i="3" s="1"/>
  <c r="AZ41" i="3"/>
  <c r="BZ6" i="7" s="1"/>
  <c r="BZ9" i="7" l="1"/>
  <c r="BD75" i="4"/>
  <c r="BD60" i="4"/>
  <c r="BD38" i="4" l="1"/>
  <c r="BD41" i="4" l="1"/>
  <c r="BD76" i="4" l="1"/>
  <c r="AB16" i="9" l="1"/>
  <c r="AB6" i="9"/>
  <c r="BC75" i="4" l="1"/>
  <c r="BC60" i="4"/>
  <c r="BC6" i="4"/>
  <c r="BC38" i="4" l="1"/>
  <c r="BC41" i="4" l="1"/>
  <c r="BC76" i="4" l="1"/>
  <c r="BZ36" i="2" l="1"/>
  <c r="BZ35" i="2"/>
  <c r="BZ34" i="2"/>
  <c r="BW32" i="2"/>
  <c r="BY32" i="2"/>
  <c r="BV32" i="2"/>
  <c r="BZ31" i="2"/>
  <c r="BZ30" i="2"/>
  <c r="BZ29" i="2"/>
  <c r="BZ28" i="2"/>
  <c r="BZ27" i="2"/>
  <c r="BY26" i="2"/>
  <c r="BX26" i="2"/>
  <c r="BW26" i="2"/>
  <c r="BV26" i="2"/>
  <c r="BZ25" i="2"/>
  <c r="BZ24" i="2"/>
  <c r="BZ23" i="2"/>
  <c r="BZ22" i="2"/>
  <c r="BZ21" i="2"/>
  <c r="BY20" i="2"/>
  <c r="BX20" i="2"/>
  <c r="BW20" i="2"/>
  <c r="BV20" i="2"/>
  <c r="BZ19" i="2"/>
  <c r="BZ18" i="2"/>
  <c r="BZ17" i="2"/>
  <c r="BZ16" i="2"/>
  <c r="BZ15" i="2"/>
  <c r="BZ14" i="2"/>
  <c r="BZ13" i="2"/>
  <c r="BZ12" i="2"/>
  <c r="BY11" i="2"/>
  <c r="BX11" i="2"/>
  <c r="BV11" i="2"/>
  <c r="BZ9" i="2"/>
  <c r="BZ8" i="2"/>
  <c r="BZ7" i="2"/>
  <c r="BW5" i="2"/>
  <c r="BY5" i="2"/>
  <c r="BX5" i="2"/>
  <c r="BV5" i="2"/>
  <c r="BV37" i="2" l="1"/>
  <c r="BY37" i="2"/>
  <c r="BZ11" i="2"/>
  <c r="BZ26" i="2"/>
  <c r="BW37" i="2"/>
  <c r="BZ20" i="2"/>
  <c r="BZ6" i="2"/>
  <c r="BZ5" i="2" s="1"/>
  <c r="BW11" i="2"/>
  <c r="AY77" i="3" l="1"/>
  <c r="AY64" i="3"/>
  <c r="AY53" i="3"/>
  <c r="AY38" i="3"/>
  <c r="AY24" i="3"/>
  <c r="BY8" i="7" l="1"/>
  <c r="AY55" i="3"/>
  <c r="BY7" i="7" s="1"/>
  <c r="AY80" i="3"/>
  <c r="AY41" i="3"/>
  <c r="BY6" i="7" s="1"/>
  <c r="AY81" i="3" l="1"/>
  <c r="BY9" i="7"/>
  <c r="BO34" i="13"/>
  <c r="BO33" i="13"/>
  <c r="BO32" i="13"/>
  <c r="BO31" i="13"/>
  <c r="BO30" i="13"/>
  <c r="BK28" i="13"/>
  <c r="BO25" i="13"/>
  <c r="BO24" i="13"/>
  <c r="BO23" i="13"/>
  <c r="BO22" i="13"/>
  <c r="BO21" i="13"/>
  <c r="BK19" i="13"/>
  <c r="BN13" i="13"/>
  <c r="BM13" i="13"/>
  <c r="BL13" i="13"/>
  <c r="BK13" i="13"/>
  <c r="BO12" i="13"/>
  <c r="BO11" i="13"/>
  <c r="BO13" i="13" l="1"/>
  <c r="M4" i="15"/>
  <c r="Q7" i="15" l="1"/>
  <c r="Q6" i="15"/>
  <c r="Q5" i="15"/>
  <c r="AA16" i="9"/>
  <c r="AA6" i="9"/>
  <c r="Q4" i="15" l="1"/>
  <c r="BT32" i="2" l="1"/>
  <c r="BB60" i="4" l="1"/>
  <c r="BB6" i="4" l="1"/>
  <c r="AX38" i="3" l="1"/>
  <c r="AX24" i="3" l="1"/>
  <c r="BQ13" i="2" l="1"/>
  <c r="BR13" i="2"/>
  <c r="BQ14" i="2"/>
  <c r="BR14" i="2"/>
  <c r="BQ15" i="2"/>
  <c r="BR15" i="2"/>
  <c r="BQ16" i="2"/>
  <c r="BR16" i="2"/>
  <c r="BR12" i="2"/>
  <c r="BQ12" i="2"/>
  <c r="BU15" i="2" l="1"/>
  <c r="AQ24" i="3"/>
  <c r="AR24" i="3"/>
  <c r="AS24" i="3"/>
  <c r="AT24" i="3"/>
  <c r="AW24" i="3"/>
  <c r="AW38" i="3"/>
  <c r="AR38" i="3"/>
  <c r="AT38" i="3"/>
  <c r="AS38" i="3"/>
  <c r="AS41" i="3" l="1"/>
  <c r="BQ6" i="7" s="1"/>
  <c r="AT41" i="3"/>
  <c r="BS6" i="7" l="1"/>
  <c r="BR6" i="7"/>
  <c r="G7" i="15"/>
  <c r="L7" i="15"/>
  <c r="L6" i="15"/>
  <c r="G6" i="15"/>
  <c r="L5" i="15"/>
  <c r="K4" i="15"/>
  <c r="J4" i="15"/>
  <c r="H4" i="15"/>
  <c r="C4" i="15"/>
  <c r="I4" i="15" l="1"/>
  <c r="D4" i="15"/>
  <c r="L4" i="15"/>
  <c r="E4" i="15" l="1"/>
  <c r="F4" i="15" l="1"/>
  <c r="G5" i="15"/>
  <c r="G4" i="15" s="1"/>
  <c r="BA6" i="4" l="1"/>
  <c r="BA38" i="4" s="1"/>
  <c r="BQ32" i="2" l="1"/>
  <c r="BU36" i="2"/>
  <c r="BU30" i="2"/>
  <c r="BU24" i="2"/>
  <c r="BU9" i="2"/>
  <c r="AW77" i="3" l="1"/>
  <c r="BV8" i="7" s="1"/>
  <c r="AW64" i="3" l="1"/>
  <c r="AW80" i="3" l="1"/>
  <c r="AW53" i="3"/>
  <c r="AW55" i="3" l="1"/>
  <c r="BV7" i="7" s="1"/>
  <c r="BR6" i="2" l="1"/>
  <c r="BR35" i="2" l="1"/>
  <c r="BR34" i="2"/>
  <c r="BR33" i="2"/>
  <c r="BS33" i="2" l="1"/>
  <c r="BR32" i="2"/>
  <c r="AV6" i="4"/>
  <c r="BS32" i="2" l="1"/>
  <c r="BR10" i="2"/>
  <c r="BR8" i="2"/>
  <c r="BR7" i="2"/>
  <c r="AZ60" i="4"/>
  <c r="BJ34" i="13" l="1"/>
  <c r="BE34" i="13"/>
  <c r="AZ34" i="13"/>
  <c r="AU34" i="13"/>
  <c r="BJ33" i="13"/>
  <c r="BE33" i="13"/>
  <c r="AZ33" i="13"/>
  <c r="AU33" i="13"/>
  <c r="BJ32" i="13"/>
  <c r="BE32" i="13"/>
  <c r="AZ32" i="13"/>
  <c r="AU32" i="13"/>
  <c r="BJ31" i="13"/>
  <c r="BE31" i="13"/>
  <c r="AZ31" i="13"/>
  <c r="AU31" i="13"/>
  <c r="BJ30" i="13"/>
  <c r="BE30" i="13"/>
  <c r="AZ30" i="13"/>
  <c r="AU30" i="13"/>
  <c r="BF28" i="13"/>
  <c r="BA28" i="13"/>
  <c r="AV28" i="13"/>
  <c r="BJ25" i="13"/>
  <c r="BE25" i="13"/>
  <c r="AZ25" i="13"/>
  <c r="AU25" i="13"/>
  <c r="BJ24" i="13"/>
  <c r="BE24" i="13"/>
  <c r="AZ24" i="13"/>
  <c r="AU24" i="13"/>
  <c r="BJ23" i="13"/>
  <c r="BE23" i="13"/>
  <c r="AZ23" i="13"/>
  <c r="AU23" i="13"/>
  <c r="BJ22" i="13"/>
  <c r="BE22" i="13"/>
  <c r="AZ22" i="13"/>
  <c r="AU22" i="13"/>
  <c r="BJ21" i="13"/>
  <c r="BE21" i="13"/>
  <c r="AZ21" i="13"/>
  <c r="AU21" i="13"/>
  <c r="BF19" i="13"/>
  <c r="BA19" i="13"/>
  <c r="AV19" i="13"/>
  <c r="BI13" i="13"/>
  <c r="BH13" i="13"/>
  <c r="BG13" i="13"/>
  <c r="BF13" i="13"/>
  <c r="BD13" i="13"/>
  <c r="BC13" i="13"/>
  <c r="BB13" i="13"/>
  <c r="BA13" i="13"/>
  <c r="AY13" i="13"/>
  <c r="AX13" i="13"/>
  <c r="AW13" i="13"/>
  <c r="AV13" i="13"/>
  <c r="AT13" i="13"/>
  <c r="AS13" i="13"/>
  <c r="AR13" i="13"/>
  <c r="AQ13" i="13"/>
  <c r="AP13" i="13"/>
  <c r="AO13" i="13"/>
  <c r="AN13" i="13"/>
  <c r="AM13" i="13"/>
  <c r="AL13" i="13"/>
  <c r="AK13" i="13"/>
  <c r="AJ13" i="13"/>
  <c r="AI13" i="13"/>
  <c r="AH13" i="13"/>
  <c r="AG13" i="13"/>
  <c r="AU11" i="13"/>
  <c r="AU13" i="13" s="1"/>
  <c r="AZ13" i="13" l="1"/>
  <c r="BE13" i="13"/>
  <c r="BJ13" i="13"/>
  <c r="BR20" i="2" l="1"/>
  <c r="BS20" i="2"/>
  <c r="BT20" i="2"/>
  <c r="BQ20" i="2"/>
  <c r="BR26" i="2"/>
  <c r="BS26" i="2"/>
  <c r="BT26" i="2"/>
  <c r="BQ26" i="2"/>
  <c r="AY60" i="4" l="1"/>
  <c r="AY6" i="4" l="1"/>
  <c r="BB38" i="4" l="1"/>
  <c r="AZ6" i="4"/>
  <c r="AZ38" i="4" s="1"/>
  <c r="AY3" i="4"/>
  <c r="BC3" i="4" s="1"/>
  <c r="BG3" i="4" s="1"/>
  <c r="BB75" i="4"/>
  <c r="BA75" i="4"/>
  <c r="AZ75" i="4"/>
  <c r="AY75" i="4"/>
  <c r="BA60" i="4"/>
  <c r="BB41" i="4" l="1"/>
  <c r="BA41" i="4"/>
  <c r="AZ41" i="4"/>
  <c r="BB76" i="4"/>
  <c r="BB80" i="4" l="1"/>
  <c r="BC77" i="4" s="1"/>
  <c r="BC80" i="4" s="1"/>
  <c r="BA76" i="4"/>
  <c r="AZ76" i="4"/>
  <c r="AU64" i="3"/>
  <c r="BD77" i="4" l="1"/>
  <c r="BE77" i="4"/>
  <c r="BE80" i="4" s="1"/>
  <c r="BF77" i="4"/>
  <c r="BD80" i="4"/>
  <c r="AX77" i="3"/>
  <c r="AV77" i="3"/>
  <c r="AX64" i="3"/>
  <c r="AV64" i="3"/>
  <c r="AX53" i="3"/>
  <c r="AV53" i="3"/>
  <c r="AV38" i="3"/>
  <c r="BU8" i="7" s="1"/>
  <c r="AV24" i="3"/>
  <c r="BU31" i="2"/>
  <c r="BU23" i="2"/>
  <c r="BU22" i="2"/>
  <c r="BU19" i="2"/>
  <c r="BU18" i="2"/>
  <c r="BU17" i="2"/>
  <c r="BU16" i="2"/>
  <c r="BU14" i="2"/>
  <c r="BQ11" i="2"/>
  <c r="BU10" i="2"/>
  <c r="BU7" i="2"/>
  <c r="BQ5" i="2"/>
  <c r="BF80" i="4" l="1"/>
  <c r="BG77" i="4" s="1"/>
  <c r="BG80" i="4" s="1"/>
  <c r="BX8" i="7"/>
  <c r="BW8" i="7"/>
  <c r="AX80" i="3"/>
  <c r="AX55" i="3"/>
  <c r="AW41" i="3"/>
  <c r="BV6" i="7" s="1"/>
  <c r="AV55" i="3"/>
  <c r="BU7" i="7" s="1"/>
  <c r="BQ37" i="2"/>
  <c r="AV80" i="3"/>
  <c r="AX41" i="3"/>
  <c r="AV41" i="3"/>
  <c r="BU6" i="7" s="1"/>
  <c r="BS5" i="2"/>
  <c r="BS37" i="2" s="1"/>
  <c r="BT5" i="2"/>
  <c r="BU12" i="2"/>
  <c r="BU13" i="2"/>
  <c r="BS11" i="2"/>
  <c r="BU34" i="2"/>
  <c r="BU35" i="2"/>
  <c r="BU27" i="2"/>
  <c r="BR11" i="2"/>
  <c r="BU8" i="2"/>
  <c r="BU6" i="2"/>
  <c r="BR5" i="2"/>
  <c r="BR37" i="2" s="1"/>
  <c r="BU25" i="2"/>
  <c r="BU29" i="2"/>
  <c r="BW7" i="7" l="1"/>
  <c r="BX7" i="7"/>
  <c r="BW6" i="7"/>
  <c r="BX6" i="7"/>
  <c r="BU11" i="2"/>
  <c r="BX9" i="7"/>
  <c r="BW9" i="7"/>
  <c r="BU9" i="7"/>
  <c r="AX81" i="3"/>
  <c r="BV9" i="7"/>
  <c r="AW81" i="3"/>
  <c r="AV81" i="3"/>
  <c r="BU5" i="2"/>
  <c r="BT37" i="2"/>
  <c r="BU33" i="2"/>
  <c r="BU32" i="2" s="1"/>
  <c r="BT11" i="2"/>
  <c r="BU28" i="2"/>
  <c r="BU26" i="2" s="1"/>
  <c r="AY38" i="4" l="1"/>
  <c r="BU37" i="2"/>
  <c r="BU21" i="2"/>
  <c r="BU20" i="2" s="1"/>
  <c r="AY41" i="4" l="1"/>
  <c r="AU38" i="3"/>
  <c r="AU53" i="3"/>
  <c r="AU24" i="3"/>
  <c r="AU77" i="3"/>
  <c r="BT8" i="7" l="1"/>
  <c r="AY76" i="4"/>
  <c r="AU55" i="3"/>
  <c r="BT7" i="7" s="1"/>
  <c r="AU41" i="3"/>
  <c r="BT6" i="7" s="1"/>
  <c r="AU80" i="3"/>
  <c r="BT9" i="7" s="1"/>
  <c r="AU81" i="3" l="1"/>
  <c r="Z16" i="9"/>
  <c r="Y16" i="9"/>
  <c r="X16" i="9"/>
  <c r="Z6" i="9"/>
  <c r="Y6" i="9"/>
  <c r="X6" i="9"/>
  <c r="W16" i="9" l="1"/>
  <c r="W6" i="9"/>
  <c r="K28" i="3" l="1"/>
  <c r="J28" i="3"/>
  <c r="I28" i="3"/>
  <c r="H28" i="3"/>
  <c r="G28" i="3"/>
  <c r="F28" i="3"/>
  <c r="E28" i="3"/>
  <c r="D28" i="3"/>
  <c r="C28" i="3"/>
  <c r="AP77" i="3" l="1"/>
  <c r="V6" i="9" l="1"/>
  <c r="BN29" i="2" l="1"/>
  <c r="BO29" i="2" s="1"/>
  <c r="BN35" i="2" l="1"/>
  <c r="BO35" i="2" s="1"/>
  <c r="BN31" i="2"/>
  <c r="BO31" i="2" s="1"/>
  <c r="BN25" i="2"/>
  <c r="BO25" i="2" s="1"/>
  <c r="BN23" i="2"/>
  <c r="BO23" i="2" s="1"/>
  <c r="BM21" i="2"/>
  <c r="BN21" i="2" s="1"/>
  <c r="BL20" i="2"/>
  <c r="BN16" i="2"/>
  <c r="BO16" i="2" s="1"/>
  <c r="BN14" i="2"/>
  <c r="BO14" i="2" s="1"/>
  <c r="BN8" i="2"/>
  <c r="BO8" i="2" s="1"/>
  <c r="BO21" i="2" l="1"/>
  <c r="AS53" i="3" l="1"/>
  <c r="BM27" i="2" l="1"/>
  <c r="BN27" i="2" s="1"/>
  <c r="BM12" i="2"/>
  <c r="BN12" i="2" s="1"/>
  <c r="BO12" i="2" s="1"/>
  <c r="BO27" i="2" l="1"/>
  <c r="BP35" i="2"/>
  <c r="BM33" i="2"/>
  <c r="BN33" i="2" s="1"/>
  <c r="BO33" i="2" s="1"/>
  <c r="BM6" i="2" l="1"/>
  <c r="BN6" i="2" s="1"/>
  <c r="BO6" i="2" s="1"/>
  <c r="BM7" i="2"/>
  <c r="BN7" i="2" s="1"/>
  <c r="BO7" i="2" s="1"/>
  <c r="BM34" i="2" l="1"/>
  <c r="BN34" i="2" s="1"/>
  <c r="BO34" i="2" s="1"/>
  <c r="BL11" i="2"/>
  <c r="BP16" i="2"/>
  <c r="BP25" i="2"/>
  <c r="BP23" i="2"/>
  <c r="BP29" i="2"/>
  <c r="BP31" i="2"/>
  <c r="BM28" i="2"/>
  <c r="BM22" i="2"/>
  <c r="BM13" i="2"/>
  <c r="BP14" i="2"/>
  <c r="BP8" i="2"/>
  <c r="BM10" i="2"/>
  <c r="BO32" i="2"/>
  <c r="BN32" i="2"/>
  <c r="BL32" i="2"/>
  <c r="BL26" i="2"/>
  <c r="BL5" i="2"/>
  <c r="BM5" i="2" l="1"/>
  <c r="BN10" i="2"/>
  <c r="BO10" i="2" s="1"/>
  <c r="BM11" i="2"/>
  <c r="BN13" i="2"/>
  <c r="BM20" i="2"/>
  <c r="BN22" i="2"/>
  <c r="BM26" i="2"/>
  <c r="BN28" i="2"/>
  <c r="BN26" i="2" s="1"/>
  <c r="BM32" i="2"/>
  <c r="BM37" i="2" s="1"/>
  <c r="BO22" i="2" l="1"/>
  <c r="BO20" i="2" s="1"/>
  <c r="BN20" i="2"/>
  <c r="BN11" i="2"/>
  <c r="BO13" i="2"/>
  <c r="BO11" i="2" s="1"/>
  <c r="BO28" i="2"/>
  <c r="BO26" i="2" s="1"/>
  <c r="AR77" i="3" l="1"/>
  <c r="AR53" i="3" l="1"/>
  <c r="BP19" i="2" l="1"/>
  <c r="AQ53" i="3" l="1"/>
  <c r="AX75" i="4" l="1"/>
  <c r="AW75" i="4"/>
  <c r="AV75" i="4"/>
  <c r="AU75" i="4"/>
  <c r="AX60" i="4"/>
  <c r="AW60" i="4"/>
  <c r="AV60" i="4"/>
  <c r="AU60" i="4"/>
  <c r="AX6" i="4"/>
  <c r="AW6" i="4"/>
  <c r="AU6" i="4"/>
  <c r="BP34" i="2"/>
  <c r="BP28" i="2"/>
  <c r="BP27" i="2"/>
  <c r="BP22" i="2"/>
  <c r="BP21" i="2"/>
  <c r="BP18" i="2"/>
  <c r="BP17" i="2"/>
  <c r="BP13" i="2"/>
  <c r="BP12" i="2"/>
  <c r="BP10" i="2"/>
  <c r="BP7" i="2"/>
  <c r="BP6" i="2"/>
  <c r="BO5" i="2"/>
  <c r="BO37" i="2" s="1"/>
  <c r="BN5" i="2"/>
  <c r="BN37" i="2" s="1"/>
  <c r="AT77" i="3"/>
  <c r="AS77" i="3"/>
  <c r="AQ77" i="3"/>
  <c r="AT64" i="3"/>
  <c r="AS64" i="3"/>
  <c r="AR64" i="3"/>
  <c r="AQ64" i="3"/>
  <c r="AT53" i="3"/>
  <c r="AS55" i="3"/>
  <c r="BQ7" i="7" s="1"/>
  <c r="AR55" i="3"/>
  <c r="BP7" i="7" s="1"/>
  <c r="AQ55" i="3"/>
  <c r="BO7" i="7" s="1"/>
  <c r="AQ38" i="3"/>
  <c r="BP11" i="2" l="1"/>
  <c r="BS8" i="7"/>
  <c r="BQ8" i="7"/>
  <c r="BR8" i="7"/>
  <c r="AT55" i="3"/>
  <c r="BP20" i="2"/>
  <c r="BO8" i="7"/>
  <c r="BP8" i="7"/>
  <c r="BP26" i="2"/>
  <c r="BP5" i="2"/>
  <c r="AR80" i="3"/>
  <c r="AR41" i="3"/>
  <c r="BP6" i="7" s="1"/>
  <c r="BL37" i="2"/>
  <c r="AQ41" i="3"/>
  <c r="BO6" i="7" s="1"/>
  <c r="BP33" i="2"/>
  <c r="BP32" i="2" s="1"/>
  <c r="AQ80" i="3"/>
  <c r="AS80" i="3"/>
  <c r="AT80" i="3"/>
  <c r="BR7" i="7" l="1"/>
  <c r="BS7" i="7"/>
  <c r="AT81" i="3"/>
  <c r="BS9" i="7"/>
  <c r="BR9" i="7"/>
  <c r="BP37" i="2"/>
  <c r="AS81" i="3"/>
  <c r="BQ9" i="7"/>
  <c r="BO9" i="7"/>
  <c r="AR81" i="3"/>
  <c r="BP9" i="7"/>
  <c r="AQ81" i="3"/>
  <c r="V16" i="9"/>
  <c r="T16" i="9"/>
  <c r="T6" i="9"/>
  <c r="S16" i="9" l="1"/>
  <c r="S6" i="9"/>
  <c r="AV38" i="4" l="1"/>
  <c r="AT6" i="4"/>
  <c r="BJ33" i="2" l="1"/>
  <c r="BJ34" i="2" l="1"/>
  <c r="BJ32" i="2" s="1"/>
  <c r="BJ28" i="2"/>
  <c r="BJ27" i="2"/>
  <c r="BJ22" i="2"/>
  <c r="BJ21" i="2"/>
  <c r="BJ18" i="2"/>
  <c r="BJ13" i="2"/>
  <c r="BJ12" i="2"/>
  <c r="BJ7" i="2"/>
  <c r="BJ6" i="2"/>
  <c r="BJ10" i="2"/>
  <c r="BI11" i="2"/>
  <c r="BJ11" i="2" l="1"/>
  <c r="BJ5" i="2"/>
  <c r="AP24" i="3" l="1"/>
  <c r="AP53" i="3" l="1"/>
  <c r="R16" i="9"/>
  <c r="Q16" i="9"/>
  <c r="P16" i="9"/>
  <c r="O16" i="9"/>
  <c r="N16" i="9"/>
  <c r="M16" i="9"/>
  <c r="L16" i="9"/>
  <c r="K16" i="9"/>
  <c r="J16" i="9"/>
  <c r="I16" i="9"/>
  <c r="H16" i="9"/>
  <c r="G16" i="9"/>
  <c r="F16" i="9"/>
  <c r="E16" i="9"/>
  <c r="D16" i="9"/>
  <c r="C16" i="9"/>
  <c r="R6" i="9"/>
  <c r="Q6" i="9"/>
  <c r="P6" i="9"/>
  <c r="O6" i="9"/>
  <c r="N6" i="9"/>
  <c r="M6" i="9"/>
  <c r="L6" i="9"/>
  <c r="K6" i="9"/>
  <c r="J6" i="9"/>
  <c r="I6" i="9"/>
  <c r="H6" i="9"/>
  <c r="G6" i="9"/>
  <c r="F6" i="9"/>
  <c r="E6" i="9"/>
  <c r="D6" i="9"/>
  <c r="C6" i="9"/>
  <c r="J4" i="9"/>
  <c r="N4" i="9" s="1"/>
  <c r="R4" i="9" s="1"/>
  <c r="V4" i="9" s="1"/>
  <c r="Z4" i="9" s="1"/>
  <c r="AD4" i="9" s="1"/>
  <c r="AH4" i="9" s="1"/>
  <c r="I4" i="9"/>
  <c r="M4" i="9" s="1"/>
  <c r="Q4" i="9" s="1"/>
  <c r="U4" i="9" s="1"/>
  <c r="Y4" i="9" s="1"/>
  <c r="AC4" i="9" s="1"/>
  <c r="AG4" i="9" s="1"/>
  <c r="H4" i="9"/>
  <c r="L4" i="9" s="1"/>
  <c r="P4" i="9" s="1"/>
  <c r="T4" i="9" s="1"/>
  <c r="X4" i="9" s="1"/>
  <c r="AB4" i="9" s="1"/>
  <c r="AF4" i="9" s="1"/>
  <c r="G4" i="9"/>
  <c r="K4" i="9" s="1"/>
  <c r="O4" i="9" s="1"/>
  <c r="S4" i="9" s="1"/>
  <c r="W4" i="9" s="1"/>
  <c r="AA4" i="9" s="1"/>
  <c r="AE4" i="9" s="1"/>
  <c r="AP55" i="3" l="1"/>
  <c r="BG11" i="2"/>
  <c r="BM7" i="7" l="1"/>
  <c r="BN7" i="7"/>
  <c r="BH11" i="2"/>
  <c r="BK17" i="2" l="1"/>
  <c r="BF17" i="2"/>
  <c r="AZ25" i="5" l="1"/>
  <c r="AZ17" i="5"/>
  <c r="AZ16" i="5"/>
  <c r="AZ15" i="5"/>
  <c r="AZ12" i="5"/>
  <c r="AZ27" i="5"/>
  <c r="AZ26" i="5"/>
  <c r="AZ8" i="5"/>
  <c r="AZ11" i="5"/>
  <c r="AZ10" i="5"/>
  <c r="AZ9" i="5"/>
  <c r="AZ7" i="5" l="1"/>
  <c r="AZ24" i="5"/>
  <c r="AZ29" i="5"/>
  <c r="AN38" i="3" l="1"/>
  <c r="AM38" i="3" l="1"/>
  <c r="BG20" i="2" l="1"/>
  <c r="BH5" i="2"/>
  <c r="BI5" i="2"/>
  <c r="BG5" i="2"/>
  <c r="AM53" i="3" l="1"/>
  <c r="AV7" i="5" l="1"/>
  <c r="AY29" i="5" l="1"/>
  <c r="AX29" i="5"/>
  <c r="AW29" i="5"/>
  <c r="AV29" i="5"/>
  <c r="AY24" i="5"/>
  <c r="AX24" i="5"/>
  <c r="AV24" i="5"/>
  <c r="AY17" i="5"/>
  <c r="AX17" i="5"/>
  <c r="AW17" i="5"/>
  <c r="AV17" i="5"/>
  <c r="AY7" i="5"/>
  <c r="AX7" i="5"/>
  <c r="AW7" i="5"/>
  <c r="AS75" i="4"/>
  <c r="AS60" i="4"/>
  <c r="AT75" i="4"/>
  <c r="AR75" i="4"/>
  <c r="AQ75" i="4"/>
  <c r="AT60" i="4"/>
  <c r="AR60" i="4"/>
  <c r="AQ60" i="4"/>
  <c r="AS6" i="4"/>
  <c r="AR6" i="4"/>
  <c r="AQ6" i="4"/>
  <c r="AO77" i="3"/>
  <c r="AN77" i="3"/>
  <c r="AM77" i="3"/>
  <c r="AP64" i="3"/>
  <c r="AO64" i="3"/>
  <c r="AN64" i="3"/>
  <c r="AM64" i="3"/>
  <c r="AO53" i="3"/>
  <c r="AO55" i="3" s="1"/>
  <c r="BL7" i="7" s="1"/>
  <c r="AN53" i="3"/>
  <c r="AN55" i="3" s="1"/>
  <c r="BK7" i="7" s="1"/>
  <c r="AM55" i="3"/>
  <c r="BJ7" i="7" s="1"/>
  <c r="AP38" i="3"/>
  <c r="AO38" i="3"/>
  <c r="AO24" i="3"/>
  <c r="AN24" i="3"/>
  <c r="AM24" i="3"/>
  <c r="BK34" i="2"/>
  <c r="BK33" i="2"/>
  <c r="BJ37" i="2"/>
  <c r="BI32" i="2"/>
  <c r="BI37" i="2" s="1"/>
  <c r="BH32" i="2"/>
  <c r="BH37" i="2" s="1"/>
  <c r="BG32" i="2"/>
  <c r="BG37" i="2" s="1"/>
  <c r="BK28" i="2"/>
  <c r="BK27" i="2"/>
  <c r="BJ26" i="2"/>
  <c r="BI26" i="2"/>
  <c r="BH26" i="2"/>
  <c r="BG26" i="2"/>
  <c r="BK22" i="2"/>
  <c r="BK21" i="2"/>
  <c r="BJ20" i="2"/>
  <c r="BI20" i="2"/>
  <c r="BH20" i="2"/>
  <c r="BK18" i="2"/>
  <c r="BK13" i="2"/>
  <c r="BK12" i="2"/>
  <c r="BK10" i="2"/>
  <c r="BK7" i="2"/>
  <c r="BK6" i="2"/>
  <c r="BJ8" i="7" l="1"/>
  <c r="AM41" i="3"/>
  <c r="BJ6" i="7" s="1"/>
  <c r="BK8" i="7"/>
  <c r="AN41" i="3"/>
  <c r="BK6" i="7" s="1"/>
  <c r="BN8" i="7"/>
  <c r="BM8" i="7"/>
  <c r="BK11" i="2"/>
  <c r="BL8" i="7"/>
  <c r="AN80" i="3"/>
  <c r="AM80" i="3"/>
  <c r="AO80" i="3"/>
  <c r="AO81" i="3" s="1"/>
  <c r="AP80" i="3"/>
  <c r="AO41" i="3"/>
  <c r="BL6" i="7" s="1"/>
  <c r="AP41" i="3"/>
  <c r="AX5" i="5"/>
  <c r="BK20" i="2"/>
  <c r="BK32" i="2"/>
  <c r="AY5" i="5"/>
  <c r="AV5" i="5"/>
  <c r="BK26" i="2"/>
  <c r="BK5" i="2"/>
  <c r="AM32" i="2"/>
  <c r="BM6" i="7" l="1"/>
  <c r="BN6" i="7"/>
  <c r="AP81" i="3"/>
  <c r="BN9" i="7"/>
  <c r="BM9" i="7"/>
  <c r="AN81" i="3"/>
  <c r="BK9" i="7"/>
  <c r="AM81" i="3"/>
  <c r="BJ9" i="7"/>
  <c r="BL9" i="7"/>
  <c r="BK37" i="2"/>
  <c r="AV37" i="2" l="1"/>
  <c r="AU37" i="2"/>
  <c r="AT37" i="2"/>
  <c r="AS37" i="2"/>
  <c r="AR37" i="2"/>
  <c r="BF34" i="2"/>
  <c r="BA34" i="2"/>
  <c r="AQ34" i="2"/>
  <c r="BF33" i="2"/>
  <c r="BA33" i="2"/>
  <c r="AQ33" i="2"/>
  <c r="BE32" i="2"/>
  <c r="BD32" i="2"/>
  <c r="BC32" i="2"/>
  <c r="BB32" i="2"/>
  <c r="AZ32" i="2"/>
  <c r="AY32" i="2"/>
  <c r="AX32" i="2"/>
  <c r="AW32" i="2"/>
  <c r="AP32" i="2"/>
  <c r="AO32" i="2"/>
  <c r="AN32" i="2"/>
  <c r="BF28" i="2"/>
  <c r="BA28" i="2"/>
  <c r="AQ28" i="2"/>
  <c r="BF27" i="2"/>
  <c r="BA27" i="2"/>
  <c r="AQ27" i="2"/>
  <c r="BE26" i="2"/>
  <c r="BD26" i="2"/>
  <c r="BC26" i="2"/>
  <c r="BB26" i="2"/>
  <c r="AZ26" i="2"/>
  <c r="AY26" i="2"/>
  <c r="AX26" i="2"/>
  <c r="AW26" i="2"/>
  <c r="AV26" i="2"/>
  <c r="AU26" i="2"/>
  <c r="AT26" i="2"/>
  <c r="AS26" i="2"/>
  <c r="AR26" i="2"/>
  <c r="AP26" i="2"/>
  <c r="AO26" i="2"/>
  <c r="AN26" i="2"/>
  <c r="AM26" i="2"/>
  <c r="BF22" i="2"/>
  <c r="BA22" i="2"/>
  <c r="AQ22" i="2"/>
  <c r="BF21" i="2"/>
  <c r="BA21" i="2"/>
  <c r="AQ21" i="2"/>
  <c r="BE20" i="2"/>
  <c r="BD20" i="2"/>
  <c r="BC20" i="2"/>
  <c r="BB20" i="2"/>
  <c r="BB11" i="2" s="1"/>
  <c r="AZ20" i="2"/>
  <c r="AY20" i="2"/>
  <c r="AX20" i="2"/>
  <c r="AW20" i="2"/>
  <c r="AP20" i="2"/>
  <c r="AO20" i="2"/>
  <c r="AN20" i="2"/>
  <c r="AM20" i="2"/>
  <c r="BF13" i="2"/>
  <c r="BF12" i="2"/>
  <c r="BE11" i="2"/>
  <c r="BD11" i="2"/>
  <c r="BC11" i="2"/>
  <c r="BF10" i="2"/>
  <c r="BA10" i="2"/>
  <c r="AQ10" i="2"/>
  <c r="BF7" i="2"/>
  <c r="BA7" i="2"/>
  <c r="AQ7" i="2"/>
  <c r="BF6" i="2"/>
  <c r="BA6" i="2"/>
  <c r="AQ6" i="2"/>
  <c r="BD5" i="2"/>
  <c r="BC5" i="2"/>
  <c r="BB5" i="2"/>
  <c r="AZ5" i="2"/>
  <c r="AY5" i="2"/>
  <c r="AX5" i="2"/>
  <c r="AW5" i="2"/>
  <c r="AP5" i="2"/>
  <c r="AO5" i="2"/>
  <c r="AN5" i="2"/>
  <c r="AM5" i="2"/>
  <c r="AQ38" i="4" l="1"/>
  <c r="AQ41" i="4" s="1"/>
  <c r="AQ26" i="2"/>
  <c r="BA5" i="2"/>
  <c r="BA26" i="2"/>
  <c r="AP37" i="2"/>
  <c r="BA20" i="2"/>
  <c r="BF20" i="2"/>
  <c r="BF32" i="2"/>
  <c r="BD37" i="2"/>
  <c r="AX37" i="2"/>
  <c r="AQ5" i="2"/>
  <c r="BB37" i="2"/>
  <c r="BF11" i="2"/>
  <c r="AY37" i="2"/>
  <c r="BF26" i="2"/>
  <c r="AZ37" i="2"/>
  <c r="AW37" i="2"/>
  <c r="BF5" i="2"/>
  <c r="AQ32" i="2"/>
  <c r="AN37" i="2"/>
  <c r="BC37" i="2"/>
  <c r="AQ20" i="2"/>
  <c r="AO37" i="2"/>
  <c r="BE5" i="2"/>
  <c r="BE37" i="2" s="1"/>
  <c r="AM37" i="2"/>
  <c r="BA32" i="2"/>
  <c r="AT38" i="4" l="1"/>
  <c r="AS38" i="4"/>
  <c r="AS41" i="4" s="1"/>
  <c r="AQ76" i="4"/>
  <c r="AR38" i="4"/>
  <c r="BA37" i="2"/>
  <c r="AQ37" i="2"/>
  <c r="BF37" i="2"/>
  <c r="AR41" i="4" l="1"/>
  <c r="AT41" i="4"/>
  <c r="AS76" i="4"/>
  <c r="AL77" i="3"/>
  <c r="AR76" i="4" l="1"/>
  <c r="AT76" i="4"/>
  <c r="AL38" i="3"/>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AU5" i="5" l="1"/>
  <c r="V5" i="5"/>
  <c r="AA5" i="5"/>
  <c r="AF5" i="5"/>
  <c r="L5" i="5"/>
  <c r="AN66" i="4"/>
  <c r="AN6" i="4" l="1"/>
  <c r="AN38" i="4" s="1"/>
  <c r="AN41" i="4" s="1"/>
  <c r="AO6" i="4"/>
  <c r="AO38" i="4" s="1"/>
  <c r="AP6" i="4"/>
  <c r="AP38" i="4" s="1"/>
  <c r="AP41" i="4" s="1"/>
  <c r="AN60" i="4"/>
  <c r="AP60" i="4"/>
  <c r="AN75" i="4"/>
  <c r="AP75" i="4"/>
  <c r="AM75" i="4"/>
  <c r="AM60" i="4"/>
  <c r="AM6" i="4"/>
  <c r="AK77" i="3"/>
  <c r="AJ77" i="3"/>
  <c r="AI77" i="3"/>
  <c r="AL64" i="3"/>
  <c r="AK64" i="3"/>
  <c r="AJ64" i="3"/>
  <c r="AI64" i="3"/>
  <c r="AL53" i="3"/>
  <c r="AK53" i="3"/>
  <c r="AK55" i="3" s="1"/>
  <c r="AJ53" i="3"/>
  <c r="AJ55" i="3" s="1"/>
  <c r="AI53" i="3"/>
  <c r="AI55" i="3" s="1"/>
  <c r="AK38" i="3"/>
  <c r="AJ38" i="3"/>
  <c r="AI38" i="3"/>
  <c r="AL24" i="3"/>
  <c r="AK24" i="3"/>
  <c r="AJ24" i="3"/>
  <c r="AI24" i="3"/>
  <c r="AL55" i="3" l="1"/>
  <c r="AL41" i="3"/>
  <c r="AK41" i="3"/>
  <c r="AK80" i="3"/>
  <c r="AK81" i="3" s="1"/>
  <c r="AJ80" i="3"/>
  <c r="AJ81" i="3" s="1"/>
  <c r="AP76" i="4"/>
  <c r="AO80" i="4"/>
  <c r="AN76" i="4"/>
  <c r="AN80" i="4" s="1"/>
  <c r="AI41" i="3"/>
  <c r="AJ41" i="3"/>
  <c r="AL80" i="3"/>
  <c r="AI80" i="3"/>
  <c r="AI81" i="3" s="1"/>
  <c r="AL75" i="4"/>
  <c r="AL81" i="3" l="1"/>
  <c r="AP80" i="4"/>
  <c r="AM38" i="4"/>
  <c r="AM41" i="4" s="1"/>
  <c r="AQ77" i="4" l="1"/>
  <c r="AQ80" i="4" s="1"/>
  <c r="AT77" i="4"/>
  <c r="AT80" i="4" s="1"/>
  <c r="AS77" i="4"/>
  <c r="AS80" i="4" s="1"/>
  <c r="AR77" i="4"/>
  <c r="AR80" i="4" s="1"/>
  <c r="AM76" i="4"/>
  <c r="AV77" i="4" l="1"/>
  <c r="AW77" i="4"/>
  <c r="AX77" i="4"/>
  <c r="AU77" i="4"/>
  <c r="AG52" i="4"/>
  <c r="AJ75" i="4" l="1"/>
  <c r="AJ60" i="4"/>
  <c r="AJ6" i="4"/>
  <c r="AJ38" i="4" s="1"/>
  <c r="AJ41" i="4" s="1"/>
  <c r="AF75" i="4"/>
  <c r="AF60" i="4"/>
  <c r="AF6" i="4"/>
  <c r="AF38" i="4" s="1"/>
  <c r="AF41" i="4" s="1"/>
  <c r="AJ76" i="4" l="1"/>
  <c r="AF76" i="4"/>
  <c r="AK75" i="4" l="1"/>
  <c r="AI75" i="4"/>
  <c r="AL60" i="4"/>
  <c r="AK60" i="4"/>
  <c r="AI60" i="4"/>
  <c r="AL6" i="4"/>
  <c r="AL38" i="4" s="1"/>
  <c r="AL41" i="4" s="1"/>
  <c r="AK6" i="4"/>
  <c r="AK38" i="4" s="1"/>
  <c r="AK41" i="4" s="1"/>
  <c r="AI6" i="4"/>
  <c r="AI38" i="4" s="1"/>
  <c r="AI41" i="4" s="1"/>
  <c r="AL76" i="4" l="1"/>
  <c r="AK76" i="4"/>
  <c r="AI76" i="4"/>
  <c r="AI80" i="4" s="1"/>
  <c r="AE24" i="3" l="1"/>
  <c r="AC24" i="3"/>
  <c r="Z24" i="3"/>
  <c r="AA24" i="3"/>
  <c r="AE64" i="3" l="1"/>
  <c r="AE53" i="3"/>
  <c r="AD53" i="3"/>
  <c r="AE38" i="3"/>
  <c r="AC38" i="3"/>
  <c r="AD38" i="3"/>
  <c r="AD24" i="3"/>
  <c r="AE60" i="4" l="1"/>
  <c r="AG75" i="4"/>
  <c r="AE6" i="4"/>
  <c r="AG60" i="4"/>
  <c r="AH60" i="4"/>
  <c r="AE75" i="4"/>
  <c r="AH75" i="4"/>
  <c r="AG6" i="4"/>
  <c r="AG38" i="4" s="1"/>
  <c r="AG41" i="4" s="1"/>
  <c r="AH6" i="4"/>
  <c r="AH38" i="4" s="1"/>
  <c r="AH41" i="4" s="1"/>
  <c r="AD6" i="4"/>
  <c r="AH76" i="4" l="1"/>
  <c r="AG76" i="4"/>
  <c r="AE38" i="4"/>
  <c r="AE41" i="4" l="1"/>
  <c r="AE76" i="4" l="1"/>
  <c r="AE80" i="4" l="1"/>
  <c r="AH77" i="3" l="1"/>
  <c r="AG77" i="3"/>
  <c r="AF77" i="3"/>
  <c r="AE77" i="3"/>
  <c r="AH64" i="3"/>
  <c r="AG64" i="3"/>
  <c r="AF64" i="3"/>
  <c r="AH53" i="3"/>
  <c r="AH55" i="3" s="1"/>
  <c r="AG53" i="3"/>
  <c r="AG55" i="3" s="1"/>
  <c r="AF53" i="3"/>
  <c r="AF55" i="3" s="1"/>
  <c r="AE55" i="3"/>
  <c r="AH38" i="3"/>
  <c r="AG38" i="3"/>
  <c r="AF38" i="3"/>
  <c r="AH24" i="3"/>
  <c r="AG24" i="3"/>
  <c r="AF24" i="3"/>
  <c r="AE80" i="3" l="1"/>
  <c r="AE81" i="3" s="1"/>
  <c r="AF80" i="3"/>
  <c r="AF81" i="3" s="1"/>
  <c r="AG80" i="3"/>
  <c r="AG81" i="3" s="1"/>
  <c r="AH80" i="3"/>
  <c r="AH81" i="3" s="1"/>
  <c r="AE41" i="3"/>
  <c r="AF41" i="3"/>
  <c r="AG41" i="3"/>
  <c r="AH41" i="3"/>
  <c r="AD77" i="3" l="1"/>
  <c r="AD52" i="4" l="1"/>
  <c r="AC52" i="4" l="1"/>
  <c r="AC41" i="4" l="1"/>
  <c r="AC60" i="4"/>
  <c r="AC75" i="4"/>
  <c r="AC77" i="3"/>
  <c r="AC76" i="4" l="1"/>
  <c r="AB52" i="4" l="1"/>
  <c r="AB77" i="3"/>
  <c r="AB38" i="3"/>
  <c r="AB24" i="3"/>
  <c r="AA38" i="3" l="1"/>
  <c r="AD75" i="4" l="1"/>
  <c r="AB75" i="4"/>
  <c r="AA75" i="4"/>
  <c r="AD60" i="4"/>
  <c r="AB60" i="4"/>
  <c r="AA60" i="4"/>
  <c r="AB6" i="4"/>
  <c r="AA6" i="4"/>
  <c r="AA38" i="4" s="1"/>
  <c r="AA41" i="4" s="1"/>
  <c r="AA77" i="3"/>
  <c r="AD64" i="3"/>
  <c r="AC64" i="3"/>
  <c r="AB64" i="3"/>
  <c r="AA64" i="3"/>
  <c r="AD55" i="3"/>
  <c r="AC53" i="3"/>
  <c r="AB53" i="3"/>
  <c r="AB55" i="3" s="1"/>
  <c r="AA53" i="3"/>
  <c r="AA55" i="3" s="1"/>
  <c r="AB41" i="3"/>
  <c r="AC55" i="3" l="1"/>
  <c r="AC41" i="3"/>
  <c r="AA76" i="4"/>
  <c r="AA41" i="3"/>
  <c r="AD80" i="3"/>
  <c r="AD81" i="3" s="1"/>
  <c r="AD41" i="3"/>
  <c r="AA80" i="3"/>
  <c r="AA81" i="3" s="1"/>
  <c r="AB80" i="3"/>
  <c r="AB81" i="3" s="1"/>
  <c r="AC80" i="3"/>
  <c r="AC81" i="3" l="1"/>
  <c r="AB38" i="4" l="1"/>
  <c r="AB41" i="4" s="1"/>
  <c r="AB76" i="4" l="1"/>
  <c r="Z6" i="4" l="1"/>
  <c r="Z38" i="4" s="1"/>
  <c r="Z41" i="4" s="1"/>
  <c r="Z75" i="4"/>
  <c r="Z60" i="4"/>
  <c r="Z38" i="3"/>
  <c r="Z77" i="3"/>
  <c r="Z64" i="3"/>
  <c r="Z53" i="3"/>
  <c r="Z55" i="3" s="1"/>
  <c r="Z76" i="4" l="1"/>
  <c r="Z80" i="3"/>
  <c r="Z81" i="3" s="1"/>
  <c r="Z41" i="3"/>
  <c r="Y75" i="4"/>
  <c r="Y60" i="4"/>
  <c r="Y6" i="4"/>
  <c r="Y38" i="4" s="1"/>
  <c r="Y41" i="4" s="1"/>
  <c r="Y77" i="3"/>
  <c r="Y64" i="3"/>
  <c r="Y53" i="3"/>
  <c r="Y55" i="3" s="1"/>
  <c r="Y38" i="3"/>
  <c r="Y24" i="3"/>
  <c r="Y41" i="3" l="1"/>
  <c r="Y76" i="4"/>
  <c r="Y80" i="3"/>
  <c r="Y81" i="3" s="1"/>
  <c r="X75" i="4" l="1"/>
  <c r="X60" i="4"/>
  <c r="X6" i="4"/>
  <c r="X77" i="3"/>
  <c r="X64" i="3"/>
  <c r="X53" i="3"/>
  <c r="X55" i="3" s="1"/>
  <c r="X38" i="3"/>
  <c r="X24" i="3"/>
  <c r="X41" i="3" l="1"/>
  <c r="X80" i="3"/>
  <c r="X81" i="3" s="1"/>
  <c r="W72" i="4" l="1"/>
  <c r="W75" i="4" l="1"/>
  <c r="W60" i="4"/>
  <c r="W6" i="4"/>
  <c r="W77" i="3"/>
  <c r="W64" i="3"/>
  <c r="W53" i="3"/>
  <c r="W55" i="3" s="1"/>
  <c r="W38" i="3"/>
  <c r="W24" i="3"/>
  <c r="W80" i="3" l="1"/>
  <c r="W81" i="3" s="1"/>
  <c r="W41" i="3"/>
  <c r="X38" i="4" l="1"/>
  <c r="X41" i="4" s="1"/>
  <c r="X76" i="4" s="1"/>
  <c r="W38" i="4"/>
  <c r="W41" i="4" s="1"/>
  <c r="W76" i="4" s="1"/>
  <c r="V75" i="4" l="1"/>
  <c r="V60" i="4"/>
  <c r="V6" i="4"/>
  <c r="V77" i="3"/>
  <c r="V64" i="3"/>
  <c r="V53" i="3"/>
  <c r="V55" i="3" s="1"/>
  <c r="V38" i="3"/>
  <c r="V24" i="3"/>
  <c r="V38" i="4" l="1"/>
  <c r="V41" i="4" s="1"/>
  <c r="V76" i="4" s="1"/>
  <c r="V80" i="3"/>
  <c r="V81" i="3" s="1"/>
  <c r="V41" i="3"/>
  <c r="U75" i="4" l="1"/>
  <c r="U60" i="4"/>
  <c r="U6" i="4"/>
  <c r="U77" i="3"/>
  <c r="U64" i="3"/>
  <c r="U53" i="3"/>
  <c r="U55" i="3" s="1"/>
  <c r="U38" i="3"/>
  <c r="U24" i="3"/>
  <c r="U80" i="3" l="1"/>
  <c r="U81" i="3" s="1"/>
  <c r="U41" i="3"/>
  <c r="U38" i="4"/>
  <c r="U41" i="4" s="1"/>
  <c r="U76" i="4" s="1"/>
  <c r="T75" i="4" l="1"/>
  <c r="T60" i="4"/>
  <c r="T6" i="4"/>
  <c r="T77" i="3"/>
  <c r="T64" i="3"/>
  <c r="T53" i="3"/>
  <c r="T55" i="3" s="1"/>
  <c r="T38" i="3"/>
  <c r="T24" i="3"/>
  <c r="T80" i="3" l="1"/>
  <c r="T81" i="3" s="1"/>
  <c r="T41" i="3"/>
  <c r="C6" i="3"/>
  <c r="S75" i="4" l="1"/>
  <c r="S60" i="4"/>
  <c r="S6" i="4"/>
  <c r="S77" i="3"/>
  <c r="S64" i="3"/>
  <c r="S53" i="3"/>
  <c r="S55" i="3" s="1"/>
  <c r="S38" i="3"/>
  <c r="S24" i="3"/>
  <c r="S80" i="3" l="1"/>
  <c r="S81" i="3" s="1"/>
  <c r="S41" i="3"/>
  <c r="R75" i="4" l="1"/>
  <c r="R60" i="4"/>
  <c r="R6" i="4"/>
  <c r="R77" i="3"/>
  <c r="R64" i="3"/>
  <c r="R53" i="3"/>
  <c r="R55" i="3" s="1"/>
  <c r="R38" i="3"/>
  <c r="R24" i="3"/>
  <c r="T38" i="4" l="1"/>
  <c r="T41" i="4" s="1"/>
  <c r="T76" i="4" s="1"/>
  <c r="S38" i="4"/>
  <c r="S41" i="4" s="1"/>
  <c r="S76" i="4" s="1"/>
  <c r="R80" i="3"/>
  <c r="R81" i="3" s="1"/>
  <c r="R41" i="3"/>
  <c r="R38" i="4" l="1"/>
  <c r="R41" i="4" s="1"/>
  <c r="R76" i="4" s="1"/>
  <c r="R80" i="4" s="1"/>
  <c r="V77" i="4" l="1"/>
  <c r="V80" i="4" s="1"/>
  <c r="Y77" i="4" s="1"/>
  <c r="Z77" i="4" s="1"/>
  <c r="U77" i="4"/>
  <c r="U80" i="4" s="1"/>
  <c r="T77" i="4"/>
  <c r="T80" i="4" s="1"/>
  <c r="S77" i="4"/>
  <c r="S80" i="4" s="1"/>
  <c r="H37" i="4"/>
  <c r="I37" i="4"/>
  <c r="Z80" i="4" l="1"/>
  <c r="Y80" i="4"/>
  <c r="W77" i="4"/>
  <c r="W80" i="4" s="1"/>
  <c r="X77" i="4"/>
  <c r="X80" i="4" s="1"/>
  <c r="AA77" i="4" l="1"/>
  <c r="AA80" i="4" s="1"/>
  <c r="AC77" i="4"/>
  <c r="AD77" i="4" s="1"/>
  <c r="AB77" i="4"/>
  <c r="AC80" i="4" l="1"/>
  <c r="AB80" i="4"/>
  <c r="C75" i="4"/>
  <c r="J75" i="4"/>
  <c r="K75" i="4"/>
  <c r="L75" i="4"/>
  <c r="M75" i="4"/>
  <c r="N75" i="4"/>
  <c r="O75" i="4"/>
  <c r="P75" i="4"/>
  <c r="Q75" i="4"/>
  <c r="K76" i="3"/>
  <c r="J76" i="3"/>
  <c r="I76" i="3"/>
  <c r="H76" i="3"/>
  <c r="G76" i="3"/>
  <c r="F76" i="3"/>
  <c r="E76" i="3"/>
  <c r="D76" i="3"/>
  <c r="K75" i="3"/>
  <c r="J75" i="3"/>
  <c r="I75" i="3"/>
  <c r="H75" i="3"/>
  <c r="G75" i="3"/>
  <c r="F75" i="3"/>
  <c r="E75" i="3"/>
  <c r="D75" i="3"/>
  <c r="K74" i="3"/>
  <c r="J74" i="3"/>
  <c r="I74" i="3"/>
  <c r="H74" i="3"/>
  <c r="G74" i="3"/>
  <c r="F74" i="3"/>
  <c r="E74" i="3"/>
  <c r="D74" i="3"/>
  <c r="K70" i="3"/>
  <c r="J70" i="3"/>
  <c r="I70" i="3"/>
  <c r="H70" i="3"/>
  <c r="G70" i="3"/>
  <c r="F70" i="3"/>
  <c r="E70" i="3"/>
  <c r="D70" i="3"/>
  <c r="K67" i="3"/>
  <c r="J67" i="3"/>
  <c r="I67" i="3"/>
  <c r="H67" i="3"/>
  <c r="G67" i="3"/>
  <c r="F67" i="3"/>
  <c r="E67" i="3"/>
  <c r="D67" i="3"/>
  <c r="K66" i="3"/>
  <c r="J66" i="3"/>
  <c r="I66" i="3"/>
  <c r="H66" i="3"/>
  <c r="G66" i="3"/>
  <c r="F66" i="3"/>
  <c r="E66" i="3"/>
  <c r="D66" i="3"/>
  <c r="K65" i="3"/>
  <c r="J65" i="3"/>
  <c r="I65" i="3"/>
  <c r="H65" i="3"/>
  <c r="G65" i="3"/>
  <c r="F65" i="3"/>
  <c r="E65" i="3"/>
  <c r="D65" i="3"/>
  <c r="K62" i="3"/>
  <c r="J62" i="3"/>
  <c r="I62" i="3"/>
  <c r="H62" i="3"/>
  <c r="G62" i="3"/>
  <c r="F62" i="3"/>
  <c r="E62" i="3"/>
  <c r="D62" i="3"/>
  <c r="K61" i="3"/>
  <c r="J61" i="3"/>
  <c r="I61" i="3"/>
  <c r="H61" i="3"/>
  <c r="G61" i="3"/>
  <c r="F61" i="3"/>
  <c r="E61" i="3"/>
  <c r="D61" i="3"/>
  <c r="K60" i="3"/>
  <c r="J60" i="3"/>
  <c r="I60" i="3"/>
  <c r="H60" i="3"/>
  <c r="G60" i="3"/>
  <c r="F60" i="3"/>
  <c r="E60" i="3"/>
  <c r="D60" i="3"/>
  <c r="K58" i="3"/>
  <c r="J58" i="3"/>
  <c r="I58" i="3"/>
  <c r="H58" i="3"/>
  <c r="G58" i="3"/>
  <c r="F58" i="3"/>
  <c r="E58" i="3"/>
  <c r="D58" i="3"/>
  <c r="K57" i="3"/>
  <c r="J57" i="3"/>
  <c r="I57" i="3"/>
  <c r="H57" i="3"/>
  <c r="G57" i="3"/>
  <c r="F57" i="3"/>
  <c r="E57" i="3"/>
  <c r="D57" i="3"/>
  <c r="K56" i="3"/>
  <c r="J56" i="3"/>
  <c r="I56" i="3"/>
  <c r="H56" i="3"/>
  <c r="G56" i="3"/>
  <c r="F56" i="3"/>
  <c r="E56" i="3"/>
  <c r="D56" i="3"/>
  <c r="K51" i="3"/>
  <c r="J51" i="3"/>
  <c r="I51" i="3"/>
  <c r="H51" i="3"/>
  <c r="G51" i="3"/>
  <c r="F51" i="3"/>
  <c r="E51" i="3"/>
  <c r="D51" i="3"/>
  <c r="J50" i="3"/>
  <c r="I50" i="3"/>
  <c r="H50" i="3"/>
  <c r="G50" i="3"/>
  <c r="F50" i="3"/>
  <c r="E50" i="3"/>
  <c r="D50" i="3"/>
  <c r="K46" i="3"/>
  <c r="J46" i="3"/>
  <c r="I46" i="3"/>
  <c r="H46" i="3"/>
  <c r="G46" i="3"/>
  <c r="F46" i="3"/>
  <c r="E46" i="3"/>
  <c r="D46" i="3"/>
  <c r="K43" i="3"/>
  <c r="J43" i="3"/>
  <c r="I43" i="3"/>
  <c r="H43" i="3"/>
  <c r="G43" i="3"/>
  <c r="F43" i="3"/>
  <c r="E43" i="3"/>
  <c r="D43" i="3"/>
  <c r="K36" i="3"/>
  <c r="J36" i="3"/>
  <c r="I36" i="3"/>
  <c r="H36" i="3"/>
  <c r="G36" i="3"/>
  <c r="F36" i="3"/>
  <c r="E36" i="3"/>
  <c r="D36" i="3"/>
  <c r="K32" i="3"/>
  <c r="J32" i="3"/>
  <c r="I32" i="3"/>
  <c r="H32" i="3"/>
  <c r="G32" i="3"/>
  <c r="F32" i="3"/>
  <c r="E32" i="3"/>
  <c r="D32" i="3"/>
  <c r="K31" i="3"/>
  <c r="J31" i="3"/>
  <c r="I31" i="3"/>
  <c r="H31" i="3"/>
  <c r="G31" i="3"/>
  <c r="F31" i="3"/>
  <c r="E31" i="3"/>
  <c r="D31" i="3"/>
  <c r="K30" i="3"/>
  <c r="J30" i="3"/>
  <c r="I30" i="3"/>
  <c r="H30" i="3"/>
  <c r="G30" i="3"/>
  <c r="F30" i="3"/>
  <c r="E30" i="3"/>
  <c r="D30" i="3"/>
  <c r="K27" i="3"/>
  <c r="J27" i="3"/>
  <c r="I27" i="3"/>
  <c r="H27" i="3"/>
  <c r="G27" i="3"/>
  <c r="F27" i="3"/>
  <c r="E27" i="3"/>
  <c r="D27" i="3"/>
  <c r="K25" i="3"/>
  <c r="J25" i="3"/>
  <c r="I25" i="3"/>
  <c r="H25" i="3"/>
  <c r="G25" i="3"/>
  <c r="F25" i="3"/>
  <c r="E25" i="3"/>
  <c r="D25" i="3"/>
  <c r="K23" i="3"/>
  <c r="J23" i="3"/>
  <c r="I23" i="3"/>
  <c r="H23" i="3"/>
  <c r="G23" i="3"/>
  <c r="F23" i="3"/>
  <c r="E23" i="3"/>
  <c r="D23" i="3"/>
  <c r="K19" i="3"/>
  <c r="J19" i="3"/>
  <c r="I19" i="3"/>
  <c r="H19" i="3"/>
  <c r="G19" i="3"/>
  <c r="F19" i="3"/>
  <c r="E19" i="3"/>
  <c r="D19"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7" i="3"/>
  <c r="I35" i="3"/>
  <c r="I34" i="3"/>
  <c r="I29" i="3"/>
  <c r="H63" i="3"/>
  <c r="H59" i="3"/>
  <c r="H29" i="3"/>
  <c r="G37" i="3"/>
  <c r="G35" i="3"/>
  <c r="G34" i="3"/>
  <c r="G29" i="3"/>
  <c r="F34" i="3"/>
  <c r="F29" i="3"/>
  <c r="E63" i="3"/>
  <c r="E59" i="3"/>
  <c r="E37" i="3"/>
  <c r="E29" i="3"/>
  <c r="D63" i="3"/>
  <c r="D59" i="3"/>
  <c r="D37" i="3"/>
  <c r="D35" i="3"/>
  <c r="D34" i="3"/>
  <c r="D29" i="3"/>
  <c r="C76" i="3"/>
  <c r="C75" i="3"/>
  <c r="C74" i="3"/>
  <c r="C70" i="3"/>
  <c r="C67" i="3"/>
  <c r="C66" i="3"/>
  <c r="C65" i="3"/>
  <c r="M63" i="3"/>
  <c r="L63" i="3"/>
  <c r="C63" i="3"/>
  <c r="C62" i="3"/>
  <c r="C60" i="3"/>
  <c r="C59" i="3"/>
  <c r="C58" i="3"/>
  <c r="C57" i="3"/>
  <c r="C56" i="3"/>
  <c r="C51" i="3"/>
  <c r="C48" i="3"/>
  <c r="C47" i="3"/>
  <c r="C45" i="3"/>
  <c r="C44" i="3"/>
  <c r="C43" i="3"/>
  <c r="C36" i="3"/>
  <c r="C32" i="3"/>
  <c r="C30" i="3"/>
  <c r="C29" i="3"/>
  <c r="C27" i="3"/>
  <c r="C25" i="3"/>
  <c r="C23" i="3"/>
  <c r="C19" i="3"/>
  <c r="C14" i="3"/>
  <c r="C13" i="3"/>
  <c r="C11" i="3"/>
  <c r="C10" i="3"/>
  <c r="C9" i="3"/>
  <c r="C8" i="3"/>
  <c r="C7" i="3"/>
  <c r="P38" i="3"/>
  <c r="Q38" i="3"/>
  <c r="M34" i="3"/>
  <c r="M38" i="3" s="1"/>
  <c r="L34" i="3"/>
  <c r="L38" i="3" s="1"/>
  <c r="H38" i="3" l="1"/>
  <c r="C38" i="3"/>
  <c r="C64" i="3"/>
  <c r="K38" i="3"/>
  <c r="J38" i="3"/>
  <c r="I38" i="3"/>
  <c r="G38" i="3"/>
  <c r="F38" i="3"/>
  <c r="E38" i="3"/>
  <c r="D38" i="3"/>
  <c r="Q60" i="4" l="1"/>
  <c r="Q6" i="4"/>
  <c r="Q77" i="3"/>
  <c r="Q64" i="3"/>
  <c r="Q53" i="3"/>
  <c r="Q55" i="3" s="1"/>
  <c r="Q24" i="3"/>
  <c r="Q80" i="3" l="1"/>
  <c r="Q81" i="3" s="1"/>
  <c r="Q41" i="3"/>
  <c r="P60" i="4" l="1"/>
  <c r="P6" i="4"/>
  <c r="P38" i="4" s="1"/>
  <c r="P41" i="4" s="1"/>
  <c r="P64" i="3"/>
  <c r="P77" i="3"/>
  <c r="P53" i="3"/>
  <c r="P55" i="3" s="1"/>
  <c r="P24" i="3"/>
  <c r="O77" i="3"/>
  <c r="N77" i="3"/>
  <c r="O64" i="3"/>
  <c r="N64" i="3"/>
  <c r="O24" i="3"/>
  <c r="N24" i="3"/>
  <c r="O60" i="4"/>
  <c r="O6" i="4"/>
  <c r="O38" i="4" s="1"/>
  <c r="O41" i="4" s="1"/>
  <c r="O53" i="3"/>
  <c r="O55" i="3" s="1"/>
  <c r="P80" i="3" l="1"/>
  <c r="P76" i="4"/>
  <c r="P80" i="4" s="1"/>
  <c r="P41" i="3"/>
  <c r="O76" i="4"/>
  <c r="O80" i="4" s="1"/>
  <c r="O80" i="3"/>
  <c r="N60" i="4"/>
  <c r="N6" i="4"/>
  <c r="N53" i="3"/>
  <c r="N55" i="3" s="1"/>
  <c r="P81" i="3" l="1"/>
  <c r="Q38" i="4"/>
  <c r="Q41" i="4" s="1"/>
  <c r="Q76" i="4" s="1"/>
  <c r="Q80" i="4" s="1"/>
  <c r="O81" i="3"/>
  <c r="N80" i="3"/>
  <c r="M60" i="4"/>
  <c r="M6" i="4"/>
  <c r="M77" i="3"/>
  <c r="M64" i="3"/>
  <c r="M53" i="3"/>
  <c r="M55" i="3" s="1"/>
  <c r="M24" i="3"/>
  <c r="N81" i="3" l="1"/>
  <c r="M38" i="4"/>
  <c r="M41" i="4" s="1"/>
  <c r="M76" i="4" s="1"/>
  <c r="M80" i="4" s="1"/>
  <c r="M80" i="3"/>
  <c r="M41" i="3"/>
  <c r="M81" i="3" l="1"/>
  <c r="N38" i="4" l="1"/>
  <c r="E6" i="4"/>
  <c r="D6" i="4"/>
  <c r="C6" i="4"/>
  <c r="I66" i="4"/>
  <c r="I75" i="4" s="1"/>
  <c r="H66" i="4"/>
  <c r="H75" i="4" s="1"/>
  <c r="G66" i="4"/>
  <c r="G75" i="4" s="1"/>
  <c r="F66" i="4"/>
  <c r="F75" i="4" s="1"/>
  <c r="E66" i="4"/>
  <c r="E75" i="4" s="1"/>
  <c r="D66" i="4"/>
  <c r="D75" i="4" s="1"/>
  <c r="N41" i="4" l="1"/>
  <c r="J54" i="3"/>
  <c r="K54" i="3"/>
  <c r="I54" i="3"/>
  <c r="C60" i="4"/>
  <c r="D60" i="4"/>
  <c r="E60" i="4"/>
  <c r="F60" i="4"/>
  <c r="G60" i="4"/>
  <c r="H60" i="4"/>
  <c r="I60" i="4"/>
  <c r="J60" i="4"/>
  <c r="K60" i="4"/>
  <c r="L60" i="4"/>
  <c r="O29" i="3" l="1"/>
  <c r="O38" i="3" s="1"/>
  <c r="N29" i="3"/>
  <c r="N35" i="3"/>
  <c r="N76" i="4"/>
  <c r="L6" i="4"/>
  <c r="L77" i="3"/>
  <c r="L64" i="3"/>
  <c r="L53" i="3"/>
  <c r="L55" i="3" s="1"/>
  <c r="L24" i="3"/>
  <c r="N38" i="3" l="1"/>
  <c r="I53" i="3"/>
  <c r="I55" i="3" s="1"/>
  <c r="E77" i="3"/>
  <c r="D64" i="3"/>
  <c r="J77" i="3"/>
  <c r="H53" i="3"/>
  <c r="H55" i="3" s="1"/>
  <c r="I64" i="3"/>
  <c r="J53" i="3"/>
  <c r="J55" i="3" s="1"/>
  <c r="D77" i="3"/>
  <c r="F77" i="3"/>
  <c r="J64" i="3"/>
  <c r="G53" i="3"/>
  <c r="G55" i="3" s="1"/>
  <c r="E53" i="3"/>
  <c r="E55" i="3" s="1"/>
  <c r="K77" i="3"/>
  <c r="F64" i="3"/>
  <c r="C53" i="3"/>
  <c r="C55" i="3" s="1"/>
  <c r="E64" i="3"/>
  <c r="H77" i="3"/>
  <c r="G77" i="3"/>
  <c r="K64" i="3"/>
  <c r="H64" i="3"/>
  <c r="C77" i="3"/>
  <c r="F53" i="3"/>
  <c r="F55" i="3" s="1"/>
  <c r="K24" i="3"/>
  <c r="I77" i="3"/>
  <c r="G64" i="3"/>
  <c r="D53" i="3"/>
  <c r="D55" i="3" s="1"/>
  <c r="K53" i="3"/>
  <c r="K55" i="3" s="1"/>
  <c r="N80" i="4"/>
  <c r="G24" i="3"/>
  <c r="F24" i="3"/>
  <c r="H24" i="3"/>
  <c r="C24" i="3"/>
  <c r="I24" i="3"/>
  <c r="J24" i="3"/>
  <c r="E24" i="3"/>
  <c r="D24" i="3"/>
  <c r="L41" i="3"/>
  <c r="L80" i="3"/>
  <c r="E80" i="3" l="1"/>
  <c r="E81" i="3" s="1"/>
  <c r="I80" i="3"/>
  <c r="I81" i="3" s="1"/>
  <c r="C80" i="3"/>
  <c r="C81" i="3" s="1"/>
  <c r="K80" i="3"/>
  <c r="K81" i="3" s="1"/>
  <c r="J80" i="3"/>
  <c r="J81" i="3" s="1"/>
  <c r="G41" i="3"/>
  <c r="F80" i="3"/>
  <c r="F81" i="3" s="1"/>
  <c r="D80" i="3"/>
  <c r="D81" i="3" s="1"/>
  <c r="H80" i="3"/>
  <c r="H81" i="3" s="1"/>
  <c r="J41" i="3"/>
  <c r="O41" i="3"/>
  <c r="G80" i="3"/>
  <c r="G81" i="3" s="1"/>
  <c r="H41" i="3"/>
  <c r="N41" i="3"/>
  <c r="E41" i="3"/>
  <c r="D41" i="3"/>
  <c r="L81" i="3"/>
  <c r="C41" i="3"/>
  <c r="F41" i="3"/>
  <c r="K41" i="3"/>
  <c r="I41" i="3"/>
  <c r="L38" i="4" l="1"/>
  <c r="L41" i="4" s="1"/>
  <c r="L76" i="4" s="1"/>
  <c r="L80" i="4" s="1"/>
  <c r="D38" i="4" l="1"/>
  <c r="D41" i="4" s="1"/>
  <c r="D76" i="4" l="1"/>
  <c r="D80" i="4" s="1"/>
  <c r="F6" i="4" l="1"/>
  <c r="F38" i="4" s="1"/>
  <c r="F41" i="4" s="1"/>
  <c r="F76" i="4" s="1"/>
  <c r="F80" i="4" s="1"/>
  <c r="K6" i="4"/>
  <c r="K38" i="4" s="1"/>
  <c r="K41" i="4" s="1"/>
  <c r="K76" i="4" s="1"/>
  <c r="K80" i="4" s="1"/>
  <c r="C38" i="4"/>
  <c r="C41" i="4" s="1"/>
  <c r="C76" i="4" s="1"/>
  <c r="C80" i="4" s="1"/>
  <c r="G6" i="4"/>
  <c r="G38" i="4" s="1"/>
  <c r="G41" i="4" s="1"/>
  <c r="G76" i="4" s="1"/>
  <c r="G80" i="4" s="1"/>
  <c r="H6" i="4"/>
  <c r="H38" i="4" s="1"/>
  <c r="H41" i="4" s="1"/>
  <c r="H76" i="4" s="1"/>
  <c r="H80" i="4" s="1"/>
  <c r="E38" i="4"/>
  <c r="E41" i="4" s="1"/>
  <c r="E76" i="4" s="1"/>
  <c r="E80" i="4" s="1"/>
  <c r="J6" i="4"/>
  <c r="J38" i="4" s="1"/>
  <c r="J41" i="4" s="1"/>
  <c r="J76" i="4" s="1"/>
  <c r="J80" i="4" s="1"/>
  <c r="I6" i="4"/>
  <c r="I38" i="4" s="1"/>
  <c r="I41" i="4" s="1"/>
  <c r="I76" i="4" s="1"/>
  <c r="I80" i="4" s="1"/>
  <c r="AD38" i="4" l="1"/>
  <c r="AD41" i="4" l="1"/>
  <c r="AD76" i="4" l="1"/>
  <c r="AD80" i="4" l="1"/>
  <c r="AL77" i="4" l="1"/>
  <c r="AH77" i="4"/>
  <c r="AK77" i="4"/>
  <c r="AK80" i="4" s="1"/>
  <c r="AJ77" i="4"/>
  <c r="AJ80" i="4" s="1"/>
  <c r="AG77" i="4"/>
  <c r="AG80" i="4" s="1"/>
  <c r="AF77" i="4"/>
  <c r="AF80" i="4" s="1"/>
  <c r="AH80" i="4" l="1"/>
  <c r="AL80" i="4"/>
  <c r="AM77" i="4" s="1"/>
  <c r="AM80" i="4" s="1"/>
  <c r="AW24" i="5" l="1"/>
  <c r="AW5" i="5" s="1"/>
  <c r="AZ5" i="5" l="1"/>
  <c r="AU38" i="4"/>
  <c r="AU41" i="4" s="1"/>
  <c r="AU76" i="4" l="1"/>
  <c r="AU80" i="4" s="1"/>
  <c r="U16" i="9"/>
  <c r="U6" i="9" l="1"/>
  <c r="AW38" i="4" l="1"/>
  <c r="AV41" i="4"/>
  <c r="AW41" i="4" l="1"/>
  <c r="AV76" i="4"/>
  <c r="AW76" i="4" l="1"/>
  <c r="AW80" i="4" s="1"/>
  <c r="AV80" i="4"/>
  <c r="AX38" i="4" l="1"/>
  <c r="AX41" i="4" l="1"/>
  <c r="AX76" i="4" l="1"/>
  <c r="AX80" i="4" l="1"/>
  <c r="BA77" i="4" s="1"/>
  <c r="BA80" i="4" s="1"/>
  <c r="AY77" i="4" l="1"/>
  <c r="AY80" i="4" s="1"/>
  <c r="AZ77" i="4"/>
  <c r="AZ80" i="4" s="1"/>
  <c r="AC6" i="9" l="1"/>
  <c r="BZ33" i="2"/>
  <c r="BZ32" i="2" s="1"/>
  <c r="BX32" i="2"/>
  <c r="BX37" i="2" s="1"/>
  <c r="BZ37" i="2" l="1"/>
</calcChain>
</file>

<file path=xl/sharedStrings.xml><?xml version="1.0" encoding="utf-8"?>
<sst xmlns="http://schemas.openxmlformats.org/spreadsheetml/2006/main" count="1753" uniqueCount="814">
  <si>
    <t>SKONSOLIDOWANY RACHUNEK ZYSKÓW I STRAT</t>
  </si>
  <si>
    <t>CONSOLIDATED INCOME STATEMENT</t>
  </si>
  <si>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</si>
  <si>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</si>
  <si>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</si>
  <si>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</si>
  <si>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t>2020 (dane wg MSSF 16)</t>
  </si>
  <si>
    <t>2021 (dane wg MSSF 16)</t>
  </si>
  <si>
    <t>2022 (dane wg MSSF 16)</t>
  </si>
  <si>
    <t>2023 (dane wg MSSF 16)</t>
  </si>
  <si>
    <t>2024 (dane wg MSSF 16)</t>
  </si>
  <si>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</si>
  <si>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</si>
  <si>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</si>
  <si>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2019 (IFRS 15 and IFRS 16 basis)</t>
  </si>
  <si>
    <t>2020 (IFRS 16 basis)</t>
  </si>
  <si>
    <t>2021 (IFRS 16 basis)</t>
  </si>
  <si>
    <t>2022 (IFRS 16 basis)</t>
  </si>
  <si>
    <t>2023 (IFRS 16 basis)</t>
  </si>
  <si>
    <t>2024 (IFRS 16 basis)</t>
  </si>
  <si>
    <t>mPLN</t>
  </si>
  <si>
    <t>Q1</t>
  </si>
  <si>
    <t>Q2</t>
  </si>
  <si>
    <t>Q3</t>
  </si>
  <si>
    <t>Q4</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</si>
  <si>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</si>
  <si>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</si>
  <si>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t>FY2019</t>
  </si>
  <si>
    <t>FY2020</t>
  </si>
  <si>
    <t>YTD2021</t>
  </si>
  <si>
    <t>YTD2022</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</si>
  <si>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</si>
  <si>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</si>
  <si>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</si>
  <si>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</si>
  <si>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</si>
  <si>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</si>
  <si>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</si>
  <si>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</si>
  <si>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Przychody ze sprzedaży energii</t>
  </si>
  <si>
    <t>Energy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</si>
  <si>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</si>
  <si>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</si>
  <si>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</si>
  <si>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</si>
  <si>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</si>
  <si>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</si>
  <si>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</si>
  <si>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</si>
  <si>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</si>
  <si>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</si>
  <si>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</si>
  <si>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</si>
  <si>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Koszt własny sprzedanej energii</t>
  </si>
  <si>
    <t>Cost of energy sold</t>
  </si>
  <si>
    <t>w tym amortyzacja</t>
  </si>
  <si>
    <t>of which amortisation</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</si>
  <si>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</si>
  <si>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</si>
  <si>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</si>
  <si>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</si>
  <si>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</si>
  <si>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</si>
  <si>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Zysk ze sprzedaży jednostki zależnej i stowarzyszonej</t>
  </si>
  <si>
    <t>Gain on disposal of a subsidiary and an associate</t>
  </si>
  <si>
    <t>Pozostałe przychody / (koszty) operacyjne, netto</t>
  </si>
  <si>
    <t>Other operating income / (cost), net</t>
  </si>
  <si>
    <t>Zysk z działalności operacyjnej</t>
  </si>
  <si>
    <t>Profit from operating activities</t>
  </si>
  <si>
    <r>
      <t>Zyski/(straty)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</si>
  <si>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</si>
  <si>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</si>
  <si>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</si>
  <si>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</si>
  <si>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</si>
  <si>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</si>
  <si>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</si>
  <si>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</si>
  <si>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</si>
  <si>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</si>
  <si>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</si>
  <si>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</si>
  <si>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</si>
  <si>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</si>
  <si>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</si>
  <si>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</si>
  <si>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</si>
  <si>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</si>
  <si>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</si>
  <si>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</si>
  <si>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</si>
  <si>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</si>
  <si>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t>Koszty związane z COVID (w tym darowizny)</t>
  </si>
  <si>
    <t>Costs related to COVID (including donations)</t>
  </si>
  <si>
    <t>Koszty wsparcia Ukrainy</t>
  </si>
  <si>
    <t>Costs of support for Ukraine</t>
  </si>
  <si>
    <t>EBITDA skorygowana</t>
  </si>
  <si>
    <t>marża EBITDA skorygowana</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</si>
  <si>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</si>
  <si>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</si>
  <si>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</si>
  <si>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</si>
  <si>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</si>
  <si>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</si>
  <si>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</si>
  <si>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</si>
  <si>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SKONSOLIDOWANY BILANS</t>
  </si>
  <si>
    <t>CONSOLIDATED BALANCE SHEET</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</si>
  <si>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</si>
  <si>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</si>
  <si>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</si>
  <si>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</si>
  <si>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</si>
  <si>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</si>
  <si>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</si>
  <si>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t>
    </r>
    <r>
      <rPr>
        <b/>
        <vertAlign val="superscript"/>
        <sz val="10"/>
        <color theme="0"/>
        <rFont val="Calibri"/>
        <family val="2"/>
        <charset val="238"/>
      </rPr>
      <t>1)</t>
    </r>
  </si>
  <si>
    <t>31 March</t>
  </si>
  <si>
    <t>30 June</t>
  </si>
  <si>
    <t>30 September</t>
  </si>
  <si>
    <t>31 December</t>
  </si>
  <si>
    <r>
      <t xml:space="preserve">31 December </t>
    </r>
    <r>
      <rPr>
        <b/>
        <vertAlign val="superscript"/>
        <sz val="10"/>
        <color theme="0"/>
        <rFont val="Calibri"/>
        <family val="2"/>
        <charset val="238"/>
        <scheme val="minor"/>
      </rPr>
      <t>1)</t>
    </r>
  </si>
  <si>
    <t>AKTYWA</t>
  </si>
  <si>
    <t>ASSETS</t>
  </si>
  <si>
    <r>
      <t>Zestawy odbiorcze</t>
    </r>
    <r>
      <rPr>
        <vertAlign val="superscript"/>
        <sz val="10"/>
        <color indexed="8"/>
        <rFont val="Calibri"/>
        <family val="2"/>
        <charset val="238"/>
      </rPr>
      <t>7)</t>
    </r>
  </si>
  <si>
    <r>
      <t>Reception equipment</t>
    </r>
    <r>
      <rPr>
        <vertAlign val="superscript"/>
        <sz val="10"/>
        <color theme="1"/>
        <rFont val="Calibri"/>
        <family val="2"/>
        <charset val="238"/>
        <scheme val="minor"/>
      </rPr>
      <t>7)</t>
    </r>
  </si>
  <si>
    <t>7)</t>
  </si>
  <si>
    <t>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</si>
  <si>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</si>
  <si>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</si>
  <si>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</si>
  <si>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</si>
  <si>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</si>
  <si>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</si>
  <si>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</si>
  <si>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</si>
  <si>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</si>
  <si>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</si>
  <si>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</si>
  <si>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</si>
  <si>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</si>
  <si>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</si>
  <si>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</si>
  <si>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</si>
  <si>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</si>
  <si>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</si>
  <si>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</si>
  <si>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Długoterminowe należności z tytułu dostaw i usług </t>
    </r>
    <r>
      <rPr>
        <vertAlign val="superscript"/>
        <sz val="10"/>
        <color indexed="8"/>
        <rFont val="Calibri"/>
        <family val="2"/>
        <charset val="238"/>
      </rPr>
      <t xml:space="preserve">3) </t>
    </r>
  </si>
  <si>
    <r>
      <t xml:space="preserve">Non-current trade receivables </t>
    </r>
    <r>
      <rPr>
        <vertAlign val="superscript"/>
        <sz val="10"/>
        <color theme="1"/>
        <rFont val="Calibri"/>
        <family val="2"/>
        <charset val="238"/>
        <scheme val="minor"/>
      </rPr>
      <t>3)</t>
    </r>
  </si>
  <si>
    <r>
      <t xml:space="preserve">Udzielone pożyczki długoterminowe </t>
    </r>
    <r>
      <rPr>
        <vertAlign val="superscript"/>
        <sz val="10"/>
        <color indexed="8"/>
        <rFont val="Calibri"/>
        <family val="2"/>
        <charset val="238"/>
      </rPr>
      <t>5)</t>
    </r>
  </si>
  <si>
    <r>
      <t xml:space="preserve">Non-current loans granted </t>
    </r>
    <r>
      <rPr>
        <vertAlign val="superscript"/>
        <sz val="10"/>
        <color theme="1"/>
        <rFont val="Calibri"/>
        <family val="2"/>
        <charset val="238"/>
        <scheme val="minor"/>
      </rPr>
      <t>5)</t>
    </r>
  </si>
  <si>
    <r>
      <t xml:space="preserve">Inne aktywa długoterminowe, w tym: </t>
    </r>
    <r>
      <rPr>
        <vertAlign val="superscript"/>
        <sz val="10"/>
        <color indexed="8"/>
        <rFont val="Calibri"/>
        <family val="2"/>
        <charset val="238"/>
      </rPr>
      <t>3) 5)</t>
    </r>
  </si>
  <si>
    <r>
      <t xml:space="preserve">Other non-current assets </t>
    </r>
    <r>
      <rPr>
        <vertAlign val="superscript"/>
        <sz val="10"/>
        <color theme="1"/>
        <rFont val="Calibri"/>
        <family val="2"/>
        <charset val="238"/>
        <scheme val="minor"/>
      </rPr>
      <t>3) 5)</t>
    </r>
    <r>
      <rPr>
        <sz val="10"/>
        <color theme="1"/>
        <rFont val="Calibri"/>
        <family val="2"/>
        <charset val="238"/>
        <scheme val="minor"/>
      </rPr>
      <t>, includes:</t>
    </r>
  </si>
  <si>
    <t>udziały w jednostkach stowarzyszonych i wspólnych przedsięwzięciach wycenianych metodą praw własności</t>
  </si>
  <si>
    <t>shares in associates accounted for using the equity method</t>
  </si>
  <si>
    <t>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</si>
  <si>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</si>
  <si>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</si>
  <si>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</si>
  <si>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</si>
  <si>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</si>
  <si>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</si>
  <si>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</si>
  <si>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</si>
  <si>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</si>
  <si>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</si>
  <si>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</si>
  <si>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r>
      <t xml:space="preserve">Należności z tytułu dostaw i usług oraz pozostałe należności </t>
    </r>
    <r>
      <rPr>
        <vertAlign val="superscript"/>
        <sz val="10"/>
        <color indexed="8"/>
        <rFont val="Calibri"/>
        <family val="2"/>
        <charset val="238"/>
      </rPr>
      <t>6)</t>
    </r>
  </si>
  <si>
    <t>Trade and other receivables</t>
  </si>
  <si>
    <r>
      <t xml:space="preserve">Pożyczki udzielone </t>
    </r>
    <r>
      <rPr>
        <vertAlign val="superscript"/>
        <sz val="10"/>
        <color indexed="8"/>
        <rFont val="Calibri"/>
        <family val="2"/>
        <charset val="238"/>
      </rPr>
      <t>6)</t>
    </r>
  </si>
  <si>
    <r>
      <t xml:space="preserve">Current loans granted </t>
    </r>
    <r>
      <rPr>
        <vertAlign val="superscript"/>
        <sz val="10"/>
        <color theme="1"/>
        <rFont val="Calibri"/>
        <family val="2"/>
        <charset val="238"/>
        <scheme val="minor"/>
      </rPr>
      <t>6)</t>
    </r>
  </si>
  <si>
    <t>Należności z tytułu podatku dochodowego</t>
  </si>
  <si>
    <t>Income tax receivable</t>
  </si>
  <si>
    <t>Krótkoterminowe prowizje dla dystrybutorów rozliczane w czasie</t>
  </si>
  <si>
    <t>Current deferred distribution fees</t>
  </si>
  <si>
    <t>Pozostałe aktywa obrotowe, w tym</t>
  </si>
  <si>
    <t>Other current assets, includes:</t>
  </si>
  <si>
    <t>derivative instruments assets</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</si>
  <si>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</si>
  <si>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</si>
  <si>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</si>
  <si>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</si>
  <si>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</si>
  <si>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</si>
  <si>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</si>
  <si>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</si>
  <si>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 w tym:</t>
  </si>
  <si>
    <t>Assets held for sale</t>
  </si>
  <si>
    <t>środki pieniężne i ich ekwiwalenty</t>
  </si>
  <si>
    <t xml:space="preserve">includes cash and cash equivalents </t>
  </si>
  <si>
    <t>AKTYWA RAZEM</t>
  </si>
  <si>
    <t>TOTAL ASSETS</t>
  </si>
  <si>
    <t>PASYWA</t>
  </si>
  <si>
    <t>EQUITY AND LIABILITIES</t>
  </si>
  <si>
    <t>Kapitał zakładowy</t>
  </si>
  <si>
    <t>Share capital</t>
  </si>
  <si>
    <t>Kapitał zapasowy</t>
  </si>
  <si>
    <t>Reserve capital</t>
  </si>
  <si>
    <t>-</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</si>
  <si>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</si>
  <si>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</si>
  <si>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</si>
  <si>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</si>
  <si>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</si>
  <si>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</si>
  <si>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</si>
  <si>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Currency translation adjustment</t>
  </si>
  <si>
    <t>Udział w innych całkowitych dochodach jednostek stowarzyszonych</t>
  </si>
  <si>
    <t>Share of other comprehensive income of associates</t>
  </si>
  <si>
    <t>Pozostałe kapitały</t>
  </si>
  <si>
    <t>Zyski zatrzymane</t>
  </si>
  <si>
    <t>Retained earnings</t>
  </si>
  <si>
    <t>Akcje własne</t>
  </si>
  <si>
    <t>Treasury shares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</si>
  <si>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</si>
  <si>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</si>
  <si>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</si>
  <si>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</si>
  <si>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</si>
  <si>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</si>
  <si>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</si>
  <si>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</si>
  <si>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</si>
  <si>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</si>
  <si>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</si>
  <si>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</si>
  <si>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</si>
  <si>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</si>
  <si>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</si>
  <si>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</si>
  <si>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</si>
  <si>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</si>
  <si>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 w tym:</t>
  </si>
  <si>
    <t xml:space="preserve">Other non-current liabilities and provisions, includes: </t>
  </si>
  <si>
    <t>zobowiązania z tytułu instrumentów pochodnych</t>
  </si>
  <si>
    <t>derivative instruments liabilities</t>
  </si>
  <si>
    <t>Zobowiązania długoterminowe razem</t>
  </si>
  <si>
    <t xml:space="preserve">Total non-current liabilities </t>
  </si>
  <si>
    <t xml:space="preserve">Zobowiązania z tytułu leasingu </t>
  </si>
  <si>
    <t>Zobowiązania z tytułu kontraktów</t>
  </si>
  <si>
    <t>Contract liabilities</t>
  </si>
  <si>
    <t>Zobowiązania z tytułu dostaw i usług oraz pozostałe zobowiązania, w tym:</t>
  </si>
  <si>
    <t>Trade and other payables, includes:</t>
  </si>
  <si>
    <t>Zobowiązanie wobec akcjonariuszy Jednostki Dominującej z tytułu dywidendy</t>
  </si>
  <si>
    <t>Liabilities to shareholders of the Parent Company related to dividend</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</si>
  <si>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</si>
  <si>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</si>
  <si>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</si>
  <si>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</si>
  <si>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</si>
  <si>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</si>
  <si>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</si>
  <si>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</si>
  <si>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</si>
  <si>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</si>
  <si>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Liabilities held for sale, includes:</t>
  </si>
  <si>
    <t>w tym zobowiązania z tytułu leasingu</t>
  </si>
  <si>
    <t>lease liabilities</t>
  </si>
  <si>
    <t>Zobowiązania razem</t>
  </si>
  <si>
    <t>Total liabilities</t>
  </si>
  <si>
    <t>PASYWA RAZEM</t>
  </si>
  <si>
    <t>1) Przekszatłcenie w wyniku finalizacji procesu alokacji ceny nabycia Metelem.</t>
  </si>
  <si>
    <t>1) Restatement due to final purchase price allocation of Metelem</t>
  </si>
  <si>
    <t>2) Od 30 czerwca 2015 roku pozycja "Kaucje otrzymane za wydany sprzęt" została ujęta w pozycji "Zobowiązania z tytułu dostaw i usług oraz pozostałe zobowiązania".</t>
  </si>
  <si>
    <t>2) From June 30, 2015 the item "Deposits for equipment" is accounted for in the item "Trade and other payables"</t>
  </si>
  <si>
    <t>3) Na 31 grudnia 2019 roku Spółka zmieniła prezentację pozycji Inne aktywa długoterminowe i wydzieliła i zaprezentowała osobno pozycję Długoterminowe należności z tytułu dostaw i usług. Dane na 31 grudnia 2018 roku zostały przekształcone w celu uzgodnienia prezentacji.</t>
  </si>
  <si>
    <t>3) As at December 31, 2019, the Group changed the presentation of the item Other non-current assets by reclassifying and separately presenting the item Non-current trade receivables. Data as of December 31, 2018 have been restated.</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</si>
  <si>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</si>
  <si>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</si>
  <si>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 xml:space="preserve">5) Spółka wydzieliła na dzień 31 grudnia 2022 roku pozycję "Udzielone pożyczki długoterminowe" z pozycji "Inne aktywa długoterminowe". Dane na 31 grudnia 2021 zostały przekształcone w celu uzgodnienia prezentacji. </t>
  </si>
  <si>
    <t>5) As at December 31, 2022, the Company changed the presentation of the item "Other non-current assets" by reclassifying and separately presenting the item "Non-current loans granted". Data as of December 31, 2021 have been restated.</t>
  </si>
  <si>
    <t xml:space="preserve">6) Spółka wydzieliła na dzień 31 grudnia 2022 roku pozycję "Udzielone pożyczki" z pozycji "Należności z tytułu dostaw i usług oraz pozostałe należności". Dane na 31 grudnia 2021 zostały przekształcone w celu uzgodnienia prezentacji. </t>
  </si>
  <si>
    <t>6) As at December 31, 2022, the Company changed the presentation of the item "Trade and other receivables" by reclassifying and separately presenting the item "Loans granted". Data as of December 31, 2021 have been restated.</t>
  </si>
  <si>
    <t>7) Od 31 grudnia 2023 roku pozycja "Zestawy odbiorcze" została ujęta w pozycji "Inne rzeczowe aktywa trwałe".</t>
  </si>
  <si>
    <t>7) As at December 31, 2023 the item "Reception equipment" is accounted for in the item "Other property, plant and equipment"</t>
  </si>
  <si>
    <t>SKONSOLIDOWANY RACHUNEK PRZEPŁYWÓW PIENIĘŻNYCH</t>
  </si>
  <si>
    <t>CONSOLIDATED CASH FLOW STATEMENT</t>
  </si>
  <si>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</si>
  <si>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</si>
  <si>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</si>
  <si>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</si>
  <si>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</si>
  <si>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</si>
  <si>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</si>
  <si>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</si>
  <si>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</si>
  <si>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</si>
  <si>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</si>
  <si>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</si>
  <si>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</si>
  <si>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</si>
  <si>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</si>
  <si>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</si>
  <si>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</si>
  <si>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</si>
  <si>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</si>
  <si>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</si>
  <si>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</si>
  <si>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</si>
  <si>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</si>
  <si>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</si>
  <si>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</si>
  <si>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</si>
  <si>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</si>
  <si>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</si>
  <si>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</si>
  <si>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</si>
  <si>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</si>
  <si>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</si>
  <si>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</si>
  <si>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</si>
  <si>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</si>
  <si>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</si>
  <si>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</si>
  <si>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</si>
  <si>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</si>
  <si>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</si>
  <si>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</si>
  <si>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t>Share of the profit of a joint venture accounted for using the equity method</t>
  </si>
  <si>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</si>
  <si>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</si>
  <si>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</si>
  <si>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</si>
  <si>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</si>
  <si>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</si>
  <si>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</si>
  <si>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</si>
  <si>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</si>
  <si>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</si>
  <si>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Premium for early redemption of bonds</t>
  </si>
  <si>
    <t>Jednorazowy przychód wynikający z modyfikacji przepływów pieniężnych w wyniku konwersji obligacji</t>
  </si>
  <si>
    <t>Cumulative catch-up</t>
  </si>
  <si>
    <t>(Zysk) / strata na instrumentach pochodnych, netto</t>
  </si>
  <si>
    <t>Net (gain)/loss on derivatives</t>
  </si>
  <si>
    <t>Zysk ze sprzedaży udziałów/akcji w jednostce zależnej/stowarzyszonej</t>
  </si>
  <si>
    <t>Efekt przeliczenia wartości zobowiązań z tytułu modyfikacji umowy kredytowej</t>
  </si>
  <si>
    <t>Cumulative catch-up resulting from modification of the loan agreement</t>
  </si>
  <si>
    <t>Efekt jednorazowej spłaty kredytów</t>
  </si>
  <si>
    <t>One-time loans repayment</t>
  </si>
  <si>
    <t>Przychody z tytułu dywidend</t>
  </si>
  <si>
    <t>Dividend income</t>
  </si>
  <si>
    <t>Zmiana wartości udziałów w Asseco Poland S.A.</t>
  </si>
  <si>
    <t>Change in value of Asseco Poland S.A. shares</t>
  </si>
  <si>
    <t>Zysk ze sprzedaży IP</t>
  </si>
  <si>
    <t>Gain on disposal of IP</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</si>
  <si>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</si>
  <si>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</si>
  <si>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</si>
  <si>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</si>
  <si>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</si>
  <si>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</si>
  <si>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</si>
  <si>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</si>
  <si>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</si>
  <si>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</si>
  <si>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</si>
  <si>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</si>
  <si>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</si>
  <si>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</si>
  <si>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</si>
  <si>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</si>
  <si>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</si>
  <si>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</si>
  <si>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</si>
  <si>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t>
  </si>
  <si>
    <t>Nabycie udziałów w jednostkach zależnych pomniejszone o przejęte środki pieniężne</t>
  </si>
  <si>
    <t>Acquisition of subsidiaries, net of cash acquired</t>
  </si>
  <si>
    <t>Podwyższenie kapitału w jednostce stowarzyszonej</t>
  </si>
  <si>
    <t>Capital increase in an associate</t>
  </si>
  <si>
    <t>Wpływy ze zbycia udziałów/akcji w jednostce zależnej/stowarzyszonej</t>
  </si>
  <si>
    <t>Proceeds from disposal of a subsidiary and an associate</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</si>
  <si>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</si>
  <si>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</si>
  <si>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</si>
  <si>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</si>
  <si>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</si>
  <si>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</si>
  <si>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</si>
  <si>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</si>
  <si>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</si>
  <si>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</si>
  <si>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</si>
  <si>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</si>
  <si>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</si>
  <si>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</si>
  <si>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</si>
  <si>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</si>
  <si>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Inne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</si>
  <si>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</si>
  <si>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</si>
  <si>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</si>
  <si>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</si>
  <si>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</si>
  <si>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 i pożyczek</t>
  </si>
  <si>
    <t>Loans and borrowings inflows</t>
  </si>
  <si>
    <t>Emisja obligacji/(Wykup obligacji)</t>
  </si>
  <si>
    <t>Bonds (redemption)/issue</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</si>
  <si>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</si>
  <si>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</si>
  <si>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</si>
  <si>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</si>
  <si>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</si>
  <si>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</si>
  <si>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</si>
  <si>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</si>
  <si>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</si>
  <si>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</si>
  <si>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Wypłacona dywidenda Jednostki Dominującej</t>
  </si>
  <si>
    <t>Dividend payment of the Parent Company</t>
  </si>
  <si>
    <t>Nabycie akcji własnych</t>
  </si>
  <si>
    <t>Acquisition of treasury shares</t>
  </si>
  <si>
    <t>Wykup obligacji wyemitowanych przez Midas</t>
  </si>
  <si>
    <t>Acquisition of bonds issued by Midas</t>
  </si>
  <si>
    <r>
      <t>Other outflows</t>
    </r>
    <r>
      <rPr>
        <vertAlign val="superscript"/>
        <sz val="10"/>
        <color indexed="8"/>
        <rFont val="Calibri"/>
        <family val="2"/>
        <charset val="238"/>
      </rPr>
      <t>(3)</t>
    </r>
  </si>
  <si>
    <r>
      <t xml:space="preserve">Wpływy/(wypływy) z tytułu realizacji instrumentów pochodnych </t>
    </r>
    <r>
      <rPr>
        <vertAlign val="superscript"/>
        <sz val="10"/>
        <color indexed="8"/>
        <rFont val="Calibri"/>
        <family val="2"/>
        <charset val="238"/>
      </rPr>
      <t>8)</t>
    </r>
  </si>
  <si>
    <r>
      <t xml:space="preserve">Hedging instrument effect </t>
    </r>
    <r>
      <rPr>
        <vertAlign val="superscript"/>
        <sz val="10"/>
        <color indexed="8"/>
        <rFont val="Calibri"/>
        <family val="2"/>
        <charset val="238"/>
      </rPr>
      <t>8)</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</si>
  <si>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</si>
  <si>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</si>
  <si>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</si>
  <si>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</si>
  <si>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</si>
  <si>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</si>
  <si>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</si>
  <si>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</si>
  <si>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</si>
  <si>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</si>
  <si>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</si>
  <si>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Transfer to assets held for sale</t>
  </si>
  <si>
    <t>Środki pieniężne i ich ekwiwalenty na koniec okresu</t>
  </si>
  <si>
    <t>Cash and cash equivalents at the end of the period</t>
  </si>
  <si>
    <t>1) Obejmuje premie za wcześniejszą spłatę obligacji oraz zapłatę za koszty związane z pozyskaniem finansowania. Do końca 2019 roku pozycja obejmowała wpływ instrumentów IRS/CIRS/forward.</t>
  </si>
  <si>
    <t>1) Includes premium paid for early bonds’ repayment and amount paid for costs related to new financing. Until the end of 2019 this item included the impact of hedging instruments.</t>
  </si>
  <si>
    <t xml:space="preserve">2) Pozycja została połączona z pozycją "Inne korekty". </t>
  </si>
  <si>
    <t xml:space="preserve">2) Item joined with item "Other adjustments". </t>
  </si>
  <si>
    <t>3) Pozycja obejmowła spłatę zobowiązań z tytułu leasingu finansowego do końca 2018 r. W latach 2020-2021 pozycja obejmowała wpływ instrumentów IRS/CIRS/forward.</t>
  </si>
  <si>
    <t>3) Item included Finance lease – principal repayments until the end of 2018. In the years 2020-2021 this item included the impact of hedging instrument.</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</si>
  <si>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</si>
  <si>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</si>
  <si>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</si>
  <si>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</si>
  <si>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</si>
  <si>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</si>
  <si>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</si>
  <si>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</si>
  <si>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</si>
  <si>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8) Pozycja wydzielona z "Inne wypływy" w Q1'2022.</t>
  </si>
  <si>
    <t>8) Item seperated from "Other outflows" in Q1'2022.</t>
  </si>
  <si>
    <t>2018 (dane wg MSR 17,
Grupa Netia konsolidowana od 22 maja 2018 r.)</t>
  </si>
  <si>
    <t>2019 (dane MSSF 16)</t>
  </si>
  <si>
    <t>2018 (IAS 17 basis,
Netia Group consolidated as of May 22, 2018)</t>
  </si>
  <si>
    <t>2019 (IFRS 16 basis)</t>
  </si>
  <si>
    <t>YTD2018</t>
  </si>
  <si>
    <t>YTD2019</t>
  </si>
  <si>
    <t>YTD2020</t>
  </si>
  <si>
    <t>FY2021</t>
  </si>
  <si>
    <t>Przychody ze sprzedaży</t>
  </si>
  <si>
    <t>Revenues</t>
  </si>
  <si>
    <t>Segment usług B2C i B2B</t>
  </si>
  <si>
    <t>B2C &amp; B2B services segment</t>
  </si>
  <si>
    <t>Segment mediowy: TV i online</t>
  </si>
  <si>
    <t>Media segment: TV &amp; online</t>
  </si>
  <si>
    <t xml:space="preserve">Segment nieruchomości </t>
  </si>
  <si>
    <t>Real estate segment</t>
  </si>
  <si>
    <t>Segment zielonej energii</t>
  </si>
  <si>
    <t>Green energy segment</t>
  </si>
  <si>
    <t>wyłączenia i korekty konsolidacyjne</t>
  </si>
  <si>
    <t>consolidation adjustments</t>
  </si>
  <si>
    <t>EBITDA skorygowana (niebadana)</t>
  </si>
  <si>
    <t>EBITDA adjusted (unaudited)</t>
  </si>
  <si>
    <t>Segment nieruchomości</t>
  </si>
  <si>
    <r>
      <t xml:space="preserve">Koszty związane z COVID (w tym darowizny) </t>
    </r>
    <r>
      <rPr>
        <vertAlign val="superscript"/>
        <sz val="10"/>
        <color theme="1"/>
        <rFont val="Calibri"/>
        <family val="2"/>
        <charset val="238"/>
        <scheme val="minor"/>
      </rPr>
      <t>1)</t>
    </r>
  </si>
  <si>
    <r>
      <t xml:space="preserve">Costs related to COVID (including donations) </t>
    </r>
    <r>
      <rPr>
        <vertAlign val="superscript"/>
        <sz val="10"/>
        <color theme="1"/>
        <rFont val="Calibri"/>
        <family val="2"/>
        <charset val="238"/>
        <scheme val="minor"/>
      </rPr>
      <t>1)</t>
    </r>
  </si>
  <si>
    <r>
      <t xml:space="preserve">Zysk ze sprzedaży jednostki zależnej i stowarzyszonej </t>
    </r>
    <r>
      <rPr>
        <vertAlign val="superscript"/>
        <sz val="10"/>
        <color theme="1"/>
        <rFont val="Calibri"/>
        <family val="2"/>
        <charset val="238"/>
        <scheme val="minor"/>
      </rPr>
      <t>2)</t>
    </r>
  </si>
  <si>
    <r>
      <t xml:space="preserve">Gain on disposal of a subsidiary and an associate </t>
    </r>
    <r>
      <rPr>
        <vertAlign val="superscript"/>
        <sz val="10"/>
        <color theme="1"/>
        <rFont val="Calibri"/>
        <family val="2"/>
        <charset val="238"/>
        <scheme val="minor"/>
      </rPr>
      <t>2)</t>
    </r>
  </si>
  <si>
    <t>Costs of supporting Ukraine</t>
  </si>
  <si>
    <t>EBITDA (niebadana)</t>
  </si>
  <si>
    <t>EBITDA (unaudited)</t>
  </si>
  <si>
    <t>Zysk/(strata) z działalności operacyjnej</t>
  </si>
  <si>
    <t>Profit/(loss) from operating activities</t>
  </si>
  <si>
    <r>
      <t>Nabycie rzeczowych aktywów trwałych i innych wartości niematerialnych</t>
    </r>
    <r>
      <rPr>
        <b/>
        <vertAlign val="superscript"/>
        <sz val="11"/>
        <rFont val="Calibri"/>
        <family val="2"/>
        <charset val="238"/>
        <scheme val="minor"/>
      </rPr>
      <t xml:space="preserve"> 3)</t>
    </r>
  </si>
  <si>
    <r>
      <t xml:space="preserve">Acquisition of property, plant and equipment, and other intangible assets </t>
    </r>
    <r>
      <rPr>
        <b/>
        <vertAlign val="superscript"/>
        <sz val="11"/>
        <color theme="1"/>
        <rFont val="Calibri"/>
        <family val="2"/>
        <charset val="238"/>
        <scheme val="minor"/>
      </rPr>
      <t>3)</t>
    </r>
  </si>
  <si>
    <t xml:space="preserve">B2C and B2B services segment </t>
  </si>
  <si>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</si>
  <si>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</si>
  <si>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</si>
  <si>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</si>
  <si>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2) EBITDA skorygowana nie uwzględnia zysku ze sprzedaży jednostki zależnej i stowarzyszonej</t>
  </si>
  <si>
    <t>2) Adjusted EBITDA excludes the gain on the disposal of a subsidiary and an associate</t>
  </si>
  <si>
    <t>3)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</si>
  <si>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3) Until 2019 this item also included the acquisition of reception equipment in operating leasing, an item recognized in cash flows from operating activites. To ensure comparability, historical data has been corrected accordingly.</t>
  </si>
  <si>
    <t>WSKAŹNIKI FINANSOWE</t>
  </si>
  <si>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</si>
  <si>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</si>
  <si>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</si>
  <si>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</si>
  <si>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</si>
  <si>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</si>
  <si>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</si>
  <si>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</si>
  <si>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</si>
  <si>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</si>
  <si>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</si>
  <si>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</si>
  <si>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</si>
  <si>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</si>
  <si>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</si>
  <si>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</si>
  <si>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</si>
  <si>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</si>
  <si>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</si>
  <si>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</si>
  <si>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</si>
  <si>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</si>
  <si>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</si>
  <si>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</si>
  <si>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</si>
  <si>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</si>
  <si>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</si>
  <si>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</si>
  <si>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</si>
  <si>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</si>
  <si>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</si>
  <si>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</si>
  <si>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</si>
  <si>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</si>
  <si>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</si>
  <si>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</si>
  <si>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</si>
  <si>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</si>
  <si>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</si>
  <si>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</si>
  <si>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</si>
  <si>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</si>
  <si>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</si>
  <si>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</si>
  <si>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</si>
  <si>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</si>
  <si>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</si>
  <si>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</si>
  <si>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</si>
  <si>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</si>
  <si>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Q3'21
</t>
    </r>
    <r>
      <rPr>
        <i/>
        <sz val="10"/>
        <color theme="0"/>
        <rFont val="Calibri"/>
        <family val="2"/>
        <charset val="238"/>
      </rPr>
      <t>(dane wg MSSF 16)</t>
    </r>
  </si>
  <si>
    <r>
      <t xml:space="preserve">Q4'21
</t>
    </r>
    <r>
      <rPr>
        <i/>
        <sz val="10"/>
        <color theme="0"/>
        <rFont val="Calibri"/>
        <family val="2"/>
        <charset val="238"/>
      </rPr>
      <t>(dane wg MSSF 16)</t>
    </r>
  </si>
  <si>
    <r>
      <t xml:space="preserve">2021
</t>
    </r>
    <r>
      <rPr>
        <i/>
        <sz val="10"/>
        <color theme="0"/>
        <rFont val="Calibri"/>
        <family val="2"/>
        <charset val="238"/>
      </rPr>
      <t>(dane wg MSSF 16)</t>
    </r>
  </si>
  <si>
    <r>
      <t xml:space="preserve">Q1'22
</t>
    </r>
    <r>
      <rPr>
        <i/>
        <sz val="10"/>
        <color theme="0"/>
        <rFont val="Calibri"/>
        <family val="2"/>
        <charset val="238"/>
      </rPr>
      <t>(dane wg MSSF 16)</t>
    </r>
  </si>
  <si>
    <r>
      <t xml:space="preserve">Q2'22
</t>
    </r>
    <r>
      <rPr>
        <i/>
        <sz val="10"/>
        <color theme="0"/>
        <rFont val="Calibri"/>
        <family val="2"/>
        <charset val="238"/>
      </rPr>
      <t>(dane wg MSSF 16)</t>
    </r>
  </si>
  <si>
    <r>
      <t xml:space="preserve">Q3'22
</t>
    </r>
    <r>
      <rPr>
        <i/>
        <sz val="10"/>
        <color theme="0"/>
        <rFont val="Calibri"/>
        <family val="2"/>
        <charset val="238"/>
      </rPr>
      <t>(dane wg MSSF 16)</t>
    </r>
  </si>
  <si>
    <r>
      <t xml:space="preserve">Q4'22
</t>
    </r>
    <r>
      <rPr>
        <i/>
        <sz val="10"/>
        <color theme="0"/>
        <rFont val="Calibri"/>
        <family val="2"/>
        <charset val="238"/>
      </rPr>
      <t>(dane wg MSSF 16)</t>
    </r>
  </si>
  <si>
    <r>
      <t xml:space="preserve">2022
</t>
    </r>
    <r>
      <rPr>
        <i/>
        <sz val="10"/>
        <color theme="0"/>
        <rFont val="Calibri"/>
        <family val="2"/>
        <charset val="238"/>
      </rPr>
      <t>(dane wg MSSF 16)</t>
    </r>
  </si>
  <si>
    <r>
      <t xml:space="preserve">Q1'23
</t>
    </r>
    <r>
      <rPr>
        <i/>
        <sz val="10"/>
        <color theme="0"/>
        <rFont val="Calibri"/>
        <family val="2"/>
        <charset val="238"/>
      </rPr>
      <t>(dane wg MSSF 16)</t>
    </r>
  </si>
  <si>
    <r>
      <t xml:space="preserve">Q2'23
</t>
    </r>
    <r>
      <rPr>
        <i/>
        <sz val="10"/>
        <color theme="0"/>
        <rFont val="Calibri"/>
        <family val="2"/>
        <charset val="238"/>
      </rPr>
      <t>(dane wg MSSF 16)</t>
    </r>
  </si>
  <si>
    <r>
      <t xml:space="preserve">Q3'23
</t>
    </r>
    <r>
      <rPr>
        <i/>
        <sz val="10"/>
        <color theme="0"/>
        <rFont val="Calibri"/>
        <family val="2"/>
        <charset val="238"/>
      </rPr>
      <t>(dane wg MSSF 16)</t>
    </r>
  </si>
  <si>
    <r>
      <t xml:space="preserve">Q4'23
</t>
    </r>
    <r>
      <rPr>
        <i/>
        <sz val="10"/>
        <color theme="0"/>
        <rFont val="Calibri"/>
        <family val="2"/>
        <charset val="238"/>
      </rPr>
      <t>(dane wg MSSF 16)</t>
    </r>
  </si>
  <si>
    <r>
      <t xml:space="preserve">2023
</t>
    </r>
    <r>
      <rPr>
        <i/>
        <sz val="10"/>
        <color theme="0"/>
        <rFont val="Calibri"/>
        <family val="2"/>
        <charset val="238"/>
      </rPr>
      <t>(dane wg MSSF 16)</t>
    </r>
  </si>
  <si>
    <r>
      <t xml:space="preserve">Q1'24
</t>
    </r>
    <r>
      <rPr>
        <i/>
        <sz val="10"/>
        <color theme="0"/>
        <rFont val="Calibri"/>
        <family val="2"/>
        <charset val="238"/>
      </rPr>
      <t>(dane wg MSSF 16)</t>
    </r>
  </si>
  <si>
    <r>
      <t xml:space="preserve">Q2'24
</t>
    </r>
    <r>
      <rPr>
        <i/>
        <sz val="10"/>
        <color theme="0"/>
        <rFont val="Calibri"/>
        <family val="2"/>
        <charset val="238"/>
      </rPr>
      <t>(dane wg MSSF 16)</t>
    </r>
  </si>
  <si>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</si>
  <si>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</si>
  <si>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</si>
  <si>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</si>
  <si>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</si>
  <si>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</si>
  <si>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</si>
  <si>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</si>
  <si>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</si>
  <si>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</si>
  <si>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</si>
  <si>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</si>
  <si>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</si>
  <si>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</si>
  <si>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</si>
  <si>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</si>
  <si>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</si>
  <si>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</si>
  <si>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</si>
  <si>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</si>
  <si>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</si>
  <si>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</si>
  <si>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r>
      <t xml:space="preserve">Q3'21
</t>
    </r>
    <r>
      <rPr>
        <i/>
        <sz val="10"/>
        <color theme="0"/>
        <rFont val="Calibri"/>
        <family val="2"/>
        <charset val="238"/>
      </rPr>
      <t>(IFRS 16 basis)</t>
    </r>
  </si>
  <si>
    <r>
      <t xml:space="preserve">Q4'21
</t>
    </r>
    <r>
      <rPr>
        <i/>
        <sz val="10"/>
        <color theme="0"/>
        <rFont val="Calibri"/>
        <family val="2"/>
        <charset val="238"/>
      </rPr>
      <t>(IFRS 16 basis)</t>
    </r>
  </si>
  <si>
    <r>
      <t xml:space="preserve">2021
</t>
    </r>
    <r>
      <rPr>
        <i/>
        <sz val="10"/>
        <color theme="0"/>
        <rFont val="Calibri"/>
        <family val="2"/>
        <charset val="238"/>
      </rPr>
      <t>(IFRS 16 basis)</t>
    </r>
  </si>
  <si>
    <r>
      <t xml:space="preserve">Q1'22
</t>
    </r>
    <r>
      <rPr>
        <i/>
        <sz val="10"/>
        <color theme="0"/>
        <rFont val="Calibri"/>
        <family val="2"/>
        <charset val="238"/>
      </rPr>
      <t>(IFRS 16 basis)</t>
    </r>
  </si>
  <si>
    <r>
      <t xml:space="preserve">Q2'22
</t>
    </r>
    <r>
      <rPr>
        <i/>
        <sz val="10"/>
        <color theme="0"/>
        <rFont val="Calibri"/>
        <family val="2"/>
        <charset val="238"/>
      </rPr>
      <t>(IFRS 16 basis)</t>
    </r>
  </si>
  <si>
    <r>
      <t xml:space="preserve">Q3'22
</t>
    </r>
    <r>
      <rPr>
        <i/>
        <sz val="10"/>
        <color theme="0"/>
        <rFont val="Calibri"/>
        <family val="2"/>
        <charset val="238"/>
      </rPr>
      <t>(IFRS 16 basis)</t>
    </r>
  </si>
  <si>
    <r>
      <t xml:space="preserve">Q4'22
</t>
    </r>
    <r>
      <rPr>
        <i/>
        <sz val="10"/>
        <color theme="0"/>
        <rFont val="Calibri"/>
        <family val="2"/>
        <charset val="238"/>
      </rPr>
      <t>(IFRS 16 basis)</t>
    </r>
  </si>
  <si>
    <r>
      <t xml:space="preserve">2022
</t>
    </r>
    <r>
      <rPr>
        <i/>
        <sz val="10"/>
        <color theme="0"/>
        <rFont val="Calibri"/>
        <family val="2"/>
        <charset val="238"/>
      </rPr>
      <t>(IFRS 16 basis)</t>
    </r>
  </si>
  <si>
    <r>
      <t xml:space="preserve">Q1'23
</t>
    </r>
    <r>
      <rPr>
        <i/>
        <sz val="10"/>
        <color theme="0"/>
        <rFont val="Calibri"/>
        <family val="2"/>
        <charset val="238"/>
      </rPr>
      <t>(IFRS 16 basis)</t>
    </r>
  </si>
  <si>
    <r>
      <t xml:space="preserve">Q2'23
</t>
    </r>
    <r>
      <rPr>
        <i/>
        <sz val="10"/>
        <color theme="0"/>
        <rFont val="Calibri"/>
        <family val="2"/>
        <charset val="238"/>
      </rPr>
      <t>(IFRS 16 basis)</t>
    </r>
  </si>
  <si>
    <r>
      <t xml:space="preserve">Q3'23
</t>
    </r>
    <r>
      <rPr>
        <i/>
        <sz val="10"/>
        <color theme="0"/>
        <rFont val="Calibri"/>
        <family val="2"/>
        <charset val="238"/>
      </rPr>
      <t>(IFRS 16 basis)</t>
    </r>
  </si>
  <si>
    <r>
      <t xml:space="preserve">Q4'23
</t>
    </r>
    <r>
      <rPr>
        <i/>
        <sz val="10"/>
        <color theme="0"/>
        <rFont val="Calibri"/>
        <family val="2"/>
        <charset val="238"/>
      </rPr>
      <t>(IFRS 16 basis)</t>
    </r>
  </si>
  <si>
    <r>
      <t xml:space="preserve">Q1'24
</t>
    </r>
    <r>
      <rPr>
        <i/>
        <sz val="10"/>
        <color theme="0"/>
        <rFont val="Calibri"/>
        <family val="2"/>
        <charset val="238"/>
      </rPr>
      <t>(IFRS 16 basis)</t>
    </r>
  </si>
  <si>
    <r>
      <t xml:space="preserve">Q2'24
</t>
    </r>
    <r>
      <rPr>
        <i/>
        <sz val="10"/>
        <color theme="0"/>
        <rFont val="Calibri"/>
        <family val="2"/>
        <charset val="238"/>
      </rPr>
      <t>(IFRS 16 basis)</t>
    </r>
  </si>
  <si>
    <r>
      <t>Marża EBITDA</t>
    </r>
    <r>
      <rPr>
        <vertAlign val="superscript"/>
        <sz val="10"/>
        <color indexed="8"/>
        <rFont val="Calibri"/>
        <family val="2"/>
        <charset val="238"/>
      </rPr>
      <t xml:space="preserve"> 1)</t>
    </r>
  </si>
  <si>
    <r>
      <t xml:space="preserve">EBITDA margin </t>
    </r>
    <r>
      <rPr>
        <vertAlign val="superscript"/>
        <sz val="10"/>
        <color indexed="8"/>
        <rFont val="Calibri"/>
        <family val="2"/>
        <charset val="238"/>
      </rPr>
      <t>1)</t>
    </r>
  </si>
  <si>
    <r>
      <t>Marża zysku netto</t>
    </r>
    <r>
      <rPr>
        <vertAlign val="superscript"/>
        <sz val="10"/>
        <color indexed="8"/>
        <rFont val="Calibri"/>
        <family val="2"/>
        <charset val="238"/>
      </rPr>
      <t xml:space="preserve"> 2)</t>
    </r>
  </si>
  <si>
    <r>
      <t xml:space="preserve">Net profit margin </t>
    </r>
    <r>
      <rPr>
        <vertAlign val="superscript"/>
        <sz val="10"/>
        <color indexed="8"/>
        <rFont val="Calibri"/>
        <family val="2"/>
        <charset val="238"/>
      </rPr>
      <t>2)</t>
    </r>
  </si>
  <si>
    <t>&lt;0</t>
  </si>
  <si>
    <r>
      <t xml:space="preserve">Wskaźnik rentowności aktywów (ROA) </t>
    </r>
    <r>
      <rPr>
        <vertAlign val="superscript"/>
        <sz val="10"/>
        <color indexed="8"/>
        <rFont val="Calibri"/>
        <family val="2"/>
        <charset val="238"/>
      </rPr>
      <t>3)</t>
    </r>
  </si>
  <si>
    <r>
      <t xml:space="preserve">Return on assets (ROA) </t>
    </r>
    <r>
      <rPr>
        <vertAlign val="superscript"/>
        <sz val="10"/>
        <color indexed="8"/>
        <rFont val="Calibri"/>
        <family val="2"/>
        <charset val="238"/>
      </rPr>
      <t>3)</t>
    </r>
  </si>
  <si>
    <r>
      <t>Wskaźnik rentowności kapitału własnego (ROE)</t>
    </r>
    <r>
      <rPr>
        <vertAlign val="superscript"/>
        <sz val="10"/>
        <color indexed="8"/>
        <rFont val="Calibri"/>
        <family val="2"/>
        <charset val="238"/>
      </rPr>
      <t xml:space="preserve"> 4)</t>
    </r>
  </si>
  <si>
    <r>
      <t xml:space="preserve">Return on equity (ROE) </t>
    </r>
    <r>
      <rPr>
        <vertAlign val="superscript"/>
        <sz val="10"/>
        <color indexed="8"/>
        <rFont val="Calibri"/>
        <family val="2"/>
        <charset val="238"/>
      </rPr>
      <t>4)</t>
    </r>
  </si>
  <si>
    <r>
      <t xml:space="preserve">Wskaźnik płynności bieżącej (current ratio) </t>
    </r>
    <r>
      <rPr>
        <vertAlign val="superscript"/>
        <sz val="10"/>
        <color indexed="8"/>
        <rFont val="Calibri"/>
        <family val="2"/>
        <charset val="238"/>
      </rPr>
      <t>5)</t>
    </r>
  </si>
  <si>
    <r>
      <t xml:space="preserve">Current ratio </t>
    </r>
    <r>
      <rPr>
        <vertAlign val="superscript"/>
        <sz val="10"/>
        <color indexed="8"/>
        <rFont val="Calibri"/>
        <family val="2"/>
        <charset val="238"/>
      </rPr>
      <t>5)</t>
    </r>
  </si>
  <si>
    <r>
      <t xml:space="preserve">Wskaźnik ogólnego zadłużenia </t>
    </r>
    <r>
      <rPr>
        <vertAlign val="superscript"/>
        <sz val="10"/>
        <color indexed="8"/>
        <rFont val="Calibri"/>
        <family val="2"/>
        <charset val="238"/>
      </rPr>
      <t>6)</t>
    </r>
  </si>
  <si>
    <r>
      <t xml:space="preserve">Debt ratio </t>
    </r>
    <r>
      <rPr>
        <vertAlign val="superscript"/>
        <sz val="10"/>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</si>
  <si>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</si>
  <si>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</si>
  <si>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</si>
  <si>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</si>
  <si>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</si>
  <si>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</si>
  <si>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</si>
  <si>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</si>
  <si>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</si>
  <si>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</si>
  <si>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</si>
  <si>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</si>
  <si>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7)</t>
    </r>
    <r>
      <rPr>
        <i/>
        <sz val="9"/>
        <color indexed="8"/>
        <rFont val="Calibri"/>
        <family val="2"/>
        <charset val="238"/>
      </rPr>
      <t xml:space="preserve"> Grupa Netia konsolidowana od 22 maja 2018 roku.</t>
    </r>
  </si>
  <si>
    <r>
      <rPr>
        <i/>
        <vertAlign val="superscript"/>
        <sz val="9"/>
        <color indexed="8"/>
        <rFont val="Calibri"/>
        <family val="2"/>
        <charset val="238"/>
      </rPr>
      <t>7)</t>
    </r>
    <r>
      <rPr>
        <i/>
        <sz val="9"/>
        <color indexed="8"/>
        <rFont val="Calibri"/>
        <family val="2"/>
        <charset val="238"/>
      </rPr>
      <t xml:space="preserve"> Netia Group consolidated as of May 22, 2018.</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</si>
  <si>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</si>
  <si>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</si>
  <si>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t>1Q</t>
  </si>
  <si>
    <t>2Q</t>
  </si>
  <si>
    <t>3Q</t>
  </si>
  <si>
    <t>4Q</t>
  </si>
  <si>
    <t>USŁUGI KONTRAKTOWE ŚWIADCZONE KLIENTOM B2C</t>
  </si>
  <si>
    <t>CONTRACT SERVICES PROVIDED TO B2C CUSTOMERS</t>
  </si>
  <si>
    <t>Łączna liczba RGU B2C (w tys.,na koniec okresu), w tym:</t>
  </si>
  <si>
    <t>Total number of B2C RGUs (in thous., EOP), including:</t>
  </si>
  <si>
    <t>Płatna telewizja</t>
  </si>
  <si>
    <t>Pay TV (main contract)</t>
  </si>
  <si>
    <t>Telefonia komórkowa</t>
  </si>
  <si>
    <t>Mobile telephony</t>
  </si>
  <si>
    <t xml:space="preserve">Internet </t>
  </si>
  <si>
    <t>Internet</t>
  </si>
  <si>
    <t>Liczba klientów B2C (w tys., na koniec okresu)</t>
  </si>
  <si>
    <t>Number of B2C customers (in thous., EOP)</t>
  </si>
  <si>
    <r>
      <t>ARPU na klienta B2C</t>
    </r>
    <r>
      <rPr>
        <vertAlign val="superscript"/>
        <sz val="9"/>
        <color rgb="FF000000"/>
        <rFont val="Calibri"/>
        <family val="2"/>
        <charset val="238"/>
        <scheme val="minor"/>
      </rPr>
      <t>3)</t>
    </r>
    <r>
      <rPr>
        <sz val="9"/>
        <color rgb="FF000000"/>
        <rFont val="Calibri"/>
        <family val="2"/>
        <charset val="238"/>
        <scheme val="minor"/>
      </rPr>
      <t xml:space="preserve">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</si>
  <si>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</si>
  <si>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B2C</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</si>
  <si>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(YTD, PLN)</t>
    </r>
  </si>
  <si>
    <r>
      <t>Churn w segmencie B2C</t>
    </r>
    <r>
      <rPr>
        <vertAlign val="superscript"/>
        <sz val="9"/>
        <color rgb="FF000000"/>
        <rFont val="Calibri"/>
        <family val="2"/>
        <charset val="238"/>
        <scheme val="minor"/>
      </rPr>
      <t>4)</t>
    </r>
  </si>
  <si>
    <r>
      <t>Churn in B2C subsegment</t>
    </r>
    <r>
      <rPr>
        <vertAlign val="superscript"/>
        <sz val="9"/>
        <color rgb="FF000000"/>
        <rFont val="Calibri"/>
        <family val="2"/>
        <charset val="238"/>
        <scheme val="minor"/>
      </rPr>
      <t>4)</t>
    </r>
  </si>
  <si>
    <t>n/a</t>
  </si>
  <si>
    <t>Wskaźnik nasycenia RGU na klienta B2C</t>
  </si>
  <si>
    <t xml:space="preserve">RGU saturation per one B2C customer </t>
  </si>
  <si>
    <t>USŁUGI PRZEDPŁACONE</t>
  </si>
  <si>
    <t>PREPAID SERVICES</t>
  </si>
  <si>
    <t>Łączna liczba RGU (w tys., na koniec okresu), w tym:</t>
  </si>
  <si>
    <t>Total number of RGUs (in thous., EOP), including:</t>
  </si>
  <si>
    <t xml:space="preserve">Płatna telewizja </t>
  </si>
  <si>
    <t>Pay TV</t>
  </si>
  <si>
    <t xml:space="preserve">Mobile telephony </t>
  </si>
  <si>
    <t>Internet mobilny</t>
  </si>
  <si>
    <t xml:space="preserve">Mobile internet </t>
  </si>
  <si>
    <r>
      <t>ARPU na RGU prepaid</t>
    </r>
    <r>
      <rPr>
        <vertAlign val="superscript"/>
        <sz val="9"/>
        <color rgb="FF000000"/>
        <rFont val="Calibri"/>
        <family val="2"/>
        <charset val="238"/>
        <scheme val="minor"/>
      </rPr>
      <t>5)</t>
    </r>
    <r>
      <rPr>
        <sz val="9"/>
        <color rgb="FF000000"/>
        <rFont val="Calibri"/>
        <family val="2"/>
        <charset val="238"/>
        <scheme val="minor"/>
      </rPr>
      <t xml:space="preserve">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</si>
  <si>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(PLN)</t>
    </r>
  </si>
  <si>
    <r>
      <t>ARPU na RGU prepaid</t>
    </r>
    <r>
      <rPr>
        <vertAlign val="superscript"/>
        <sz val="9"/>
        <rFont val="Calibri"/>
        <family val="2"/>
        <charset val="238"/>
        <scheme val="minor"/>
      </rPr>
      <t>5)</t>
    </r>
    <r>
      <rPr>
        <sz val="9"/>
        <rFont val="Calibri"/>
        <family val="2"/>
        <charset val="238"/>
        <scheme val="minor"/>
      </rPr>
      <t xml:space="preserve"> (narastająco,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</si>
  <si>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(YTD, PLN)</t>
    </r>
  </si>
  <si>
    <t>USŁUGI KONTRAKTOWE ŚWIADCZONE KLIENTOM B2B</t>
  </si>
  <si>
    <t>CONTRACT SERVICES PROVIDED TO B2B CUSTOMERS</t>
  </si>
  <si>
    <t>Łączna liczba klientów B2B (w tys., na koniec okresu)</t>
  </si>
  <si>
    <t>Total number of B2B customers (in thous., EOP)</t>
  </si>
  <si>
    <r>
      <t>ARPU na klienta B2B</t>
    </r>
    <r>
      <rPr>
        <vertAlign val="superscript"/>
        <sz val="9"/>
        <color rgb="FF000000"/>
        <rFont val="Calibri"/>
        <family val="2"/>
        <charset val="238"/>
        <scheme val="minor"/>
      </rPr>
      <t>3)</t>
    </r>
    <r>
      <rPr>
        <sz val="9"/>
        <color rgb="FF000000"/>
        <rFont val="Calibri"/>
        <family val="2"/>
        <charset val="238"/>
        <scheme val="minor"/>
      </rPr>
      <t xml:space="preserve">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</si>
  <si>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</si>
  <si>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B2B</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</si>
  <si>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(YTD, PLN)</t>
    </r>
  </si>
  <si>
    <t>1) Klient - osoba fizyczna, prawna lub jednostka organizacyjna nieposiadającą osobowości prawnej, posiadająca co najmniej jedną, aktywną usługę świadczoną w modelu kontraktowym. Klient identyfikowany jest na poziomie unikalnego numeru PESEL, NIP lub REGON.</t>
  </si>
  <si>
    <t>1) Customer - natural person, legal entity or an organizational unit without legal personality who has at least one active service provided in a contract model. The Customer is identified by a unique national identification number (PESEL), tax identification number (NIP) or national business registry number (REGON).</t>
  </si>
  <si>
    <t>2) RGU (revenue generating unit) - pojedyncza, aktywna, generująca przychód detaliczny usługa płatnej telewizji świadczonej w dowolnej technologii, dostępu do Internetu mobilnego lub przewodowego lub telefonii komórkowej, świadczona w modelu kontraktowym lub przedpłaconym.</t>
  </si>
  <si>
    <t xml:space="preserve">2) RGU (revenue generating unit) - single, active and retail revenue generating service of pay TV provided in all types of access technologies, mobile or fixed internet access or mobile telephony provided in the contract or prepaid model. </t>
  </si>
  <si>
    <r>
      <t>3) ARPU na klienta - Średni miesięczny przychód detaliczny od Klienta wygenerowany w danym okresie rozliczeniowym.</t>
    </r>
    <r>
      <rPr>
        <strike/>
        <sz val="9"/>
        <rFont val="Calibri"/>
        <family val="2"/>
        <charset val="238"/>
      </rPr>
      <t xml:space="preserve">
</t>
    </r>
  </si>
  <si>
    <t>3) ARPU per B2C/B2B customer - average monthly retail revenue per customer generated in a given settlement period.</t>
  </si>
  <si>
    <t xml:space="preserve">4) Churn (współczynnik odejść lub odpływu) - rozwiązanie umowy z Klientem B2C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</si>
  <si>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a B2C customer by means of a termination notice, collections or other activities resulting in the situation that after the termination of the contract the customer does not have any active service provided in the contract model. Churn rate presents the relation of the number of customers for whom the last service has been deactivated (by means of a termination notice as well as deactivation as a result of collection activities or other reasons) within the last 12 months to the annual average number of customers in this 12-month period. 
</t>
  </si>
  <si>
    <t>5) ARPU na RGU - średni miesięczny przychód detaliczny wygenerowany w danym okresie rozliczeniowym w przeliczeniu na jednostkę RGU prepaid.</t>
  </si>
  <si>
    <t>5) ARPU per total prepaid RGU - average monthly revenue per prepaid RGU generated in a given settlement period.</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</si>
  <si>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</si>
  <si>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</si>
  <si>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 xml:space="preserve">Grupa Polsat </t>
    </r>
    <r>
      <rPr>
        <b/>
        <vertAlign val="superscript"/>
        <sz val="11"/>
        <color theme="1"/>
        <rFont val="Calibri"/>
        <family val="2"/>
        <charset val="238"/>
        <scheme val="minor"/>
      </rPr>
      <t>(1)</t>
    </r>
    <r>
      <rPr>
        <b/>
        <sz val="11"/>
        <color theme="1"/>
        <rFont val="Calibri"/>
        <family val="2"/>
        <charset val="238"/>
        <scheme val="minor"/>
      </rPr>
      <t>, w tym:</t>
    </r>
  </si>
  <si>
    <r>
      <t xml:space="preserve">Polsat Group </t>
    </r>
    <r>
      <rPr>
        <b/>
        <vertAlign val="superscript"/>
        <sz val="11"/>
        <color theme="1"/>
        <rFont val="Calibri"/>
        <family val="2"/>
        <charset val="238"/>
        <scheme val="minor"/>
      </rPr>
      <t>(1)</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</si>
  <si>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</si>
  <si>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</si>
  <si>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</si>
  <si>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</si>
  <si>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r>
      <t>Grupa Warner Bros.Discovery</t>
    </r>
    <r>
      <rPr>
        <vertAlign val="superscript"/>
        <sz val="11"/>
        <color rgb="FF000000"/>
        <rFont val="Calibri"/>
        <family val="2"/>
        <charset val="238"/>
        <scheme val="minor"/>
      </rPr>
      <t>(6)</t>
    </r>
  </si>
  <si>
    <r>
      <t>Warner Bros.Discovery Group</t>
    </r>
    <r>
      <rPr>
        <vertAlign val="superscript"/>
        <sz val="11"/>
        <color rgb="FF000000"/>
        <rFont val="Calibri"/>
        <family val="2"/>
        <charset val="238"/>
        <scheme val="minor"/>
      </rPr>
      <t>(6)</t>
    </r>
  </si>
  <si>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</si>
  <si>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</si>
  <si>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</si>
  <si>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</si>
  <si>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vertAlign val="superscript"/>
        <sz val="11"/>
        <color rgb="FF000000"/>
        <rFont val="Calibri"/>
        <family val="2"/>
        <charset val="238"/>
        <scheme val="minor"/>
      </rPr>
      <t>(2)</t>
    </r>
    <r>
      <rPr>
        <sz val="11"/>
        <color rgb="FF000000"/>
        <rFont val="Calibri"/>
        <family val="2"/>
        <charset val="238"/>
        <scheme val="minor"/>
      </rPr>
      <t xml:space="preserve"> </t>
    </r>
  </si>
  <si>
    <r>
      <t>Market expenditures on TV advertising
and sponsorship of Polsat Group</t>
    </r>
    <r>
      <rPr>
        <vertAlign val="superscript"/>
        <sz val="11"/>
        <color rgb="FF000000"/>
        <rFont val="Calibri"/>
        <family val="2"/>
        <charset val="238"/>
        <scheme val="minor"/>
      </rPr>
      <t>(2)</t>
    </r>
    <r>
      <rPr>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</si>
  <si>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</si>
  <si>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</si>
  <si>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</si>
  <si>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</si>
  <si>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</si>
  <si>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</si>
  <si>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</si>
  <si>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</si>
  <si>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</si>
  <si>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</si>
  <si>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</si>
  <si>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</si>
  <si>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</si>
  <si>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</si>
  <si>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</si>
  <si>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</si>
  <si>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</si>
  <si>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</si>
  <si>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Agora</t>
  </si>
  <si>
    <t>Agora Group</t>
  </si>
  <si>
    <t>Średniomiesięczna liczba odsłon</t>
  </si>
  <si>
    <t>Average monthly number of page views</t>
  </si>
  <si>
    <t>odsłony (mln)</t>
  </si>
  <si>
    <t>page views (m)</t>
  </si>
  <si>
    <r>
      <t>Grupa Polsat-Interia</t>
    </r>
    <r>
      <rPr>
        <b/>
        <vertAlign val="superscript"/>
        <sz val="11"/>
        <color theme="1"/>
        <rFont val="Calibri"/>
        <family val="2"/>
        <charset val="238"/>
        <scheme val="minor"/>
      </rPr>
      <t>(5)</t>
    </r>
  </si>
  <si>
    <r>
      <t>Polsat-Interia Group</t>
    </r>
    <r>
      <rPr>
        <b/>
        <vertAlign val="superscript"/>
        <sz val="11"/>
        <color theme="1"/>
        <rFont val="Calibri"/>
        <family val="2"/>
        <charset val="238"/>
        <scheme val="minor"/>
      </rPr>
      <t>(5)</t>
    </r>
  </si>
  <si>
    <t xml:space="preserve">Źródło: 1Q18 - 3Q20 - Gemius/PBI, 4Q20 i poźniej - Mediapanel, liczba użytkowników – wskaźnik real users
(1) Nielsen Audience Measurement, udział w oglądalności w grupie wszyscy 16-49 lat, cała doba, uwzględniono Live+2 (oglądalność z dnia emisji i z 2 kolejnych dni (tzw. Time Shifted Viewing), od września 2021 r. z uwzględnieniem oglądalności poza miejscem zamieszkania (tzw. widownia OOH); od stycznia 2021 r. udział w oglądalności w grupie wszyscy 16-59 lat
(2) Publicis Groupe, reklama spotowa i sponsoring (uwaga: dane mogą podlegać korektom wstecznym)
(3) Przychody z reklamy i sponsoringu Grupy Telewizji Polsat wg definicji Publicis Groupe
(4) Szacunki własne na podstawie danych Publicis Groupe
(5) dane za 2018, 2019 i H1'20 dla Grupy Cyfrowy Polsat
(6) Grupa powstała 8 kwietnia 2022 r. w wyniku fuzji spółek WarnerMedia i Discovery, dane sprzed tego okresu dotyczą kanałów należących do Grupy Discovery </t>
  </si>
  <si>
    <t>Source: 1Q18 - 3Q20 - Gemius/PBI, 4Q20 - Mediapanel, number of users – real users (RU) indicator
Note: (1) Nielsen Audience Measurement, All 16‐49, all day, SHR%, including Live+2, Audience shares include both live broadcasting and broadcasting during 2 consecutive days (i.e. Time Shifted Viewing), starting from September 2021 also including OOH viewership; starting from January 2021 16‐59 age group.
(2) Publicis Groupe, spot advertising and sponsorship (note: data may be subject to retrospective correction)
(3)  Revenue from advertising and sponsorship of TV Polsat Group according to Publicis Groupe definition 
(4) Own estimates based on Publicis Groupe data 
(5) data for 2018, 2019 and H1'20 for Cyfrowy Polsat
(6) The group was established on April 8, 2022 as a result of the merger of WarnerMedia and Discovery, data before that period refer to channels belonging to Discovery Group</t>
  </si>
  <si>
    <t>Produkcja całkowita energii elektrycznej [GWh]</t>
  </si>
  <si>
    <t>Total electricity generation [GWh]</t>
  </si>
  <si>
    <t>Biomasa</t>
  </si>
  <si>
    <t>Biomass</t>
  </si>
  <si>
    <t>Fotowoltaika</t>
  </si>
  <si>
    <t>Photovoltaics</t>
  </si>
  <si>
    <t>Farmy wiatrowe na lądzie</t>
  </si>
  <si>
    <t>Wind farms onshore</t>
  </si>
  <si>
    <t>1) Konsolidacja segmentu Zielona Energia od 3 lipca 2023 roku.</t>
  </si>
  <si>
    <t>1) Consolidation of the Green Energy segment as of 3 July 2023</t>
  </si>
  <si>
    <r>
      <t xml:space="preserve">FY 2018 </t>
    </r>
    <r>
      <rPr>
        <b/>
        <vertAlign val="superscript"/>
        <sz val="10"/>
        <color theme="0"/>
        <rFont val="Calibri"/>
        <family val="2"/>
        <charset val="238"/>
        <scheme val="minor"/>
      </rPr>
      <t>6</t>
    </r>
  </si>
  <si>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</si>
  <si>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</si>
  <si>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</si>
  <si>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</si>
  <si>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</si>
  <si>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</si>
  <si>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</si>
  <si>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</si>
  <si>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</si>
  <si>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</si>
  <si>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</si>
  <si>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</si>
  <si>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</si>
  <si>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</si>
  <si>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Liczba klientów</t>
  </si>
  <si>
    <t>Number of customers</t>
  </si>
  <si>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</si>
  <si>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</si>
  <si>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</si>
  <si>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</si>
  <si>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</si>
  <si>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</si>
  <si>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</si>
  <si>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</si>
  <si>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</si>
  <si>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</si>
  <si>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</si>
  <si>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</si>
  <si>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Total number of RGUs, including:</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</si>
  <si>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</si>
  <si>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</si>
  <si>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</si>
  <si>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</si>
  <si>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</si>
  <si>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</si>
  <si>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</si>
  <si>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</si>
  <si>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</si>
  <si>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</si>
  <si>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</si>
  <si>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</si>
  <si>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</si>
  <si>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</si>
  <si>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</si>
  <si>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r>
      <t xml:space="preserve">Q3'24
</t>
    </r>
    <r>
      <rPr>
        <i/>
        <sz val="10"/>
        <color theme="0"/>
        <rFont val="Calibri"/>
        <family val="2"/>
        <charset val="238"/>
      </rPr>
      <t>(dane wg MSSF 16)</t>
    </r>
  </si>
  <si>
    <r>
      <t xml:space="preserve">Q3'24
</t>
    </r>
    <r>
      <rPr>
        <i/>
        <sz val="10"/>
        <color theme="0"/>
        <rFont val="Calibri"/>
        <family val="2"/>
        <charset val="238"/>
      </rPr>
      <t>(IFRS 16 basis)</t>
    </r>
  </si>
  <si>
    <r>
      <t xml:space="preserve">Q4'24
</t>
    </r>
    <r>
      <rPr>
        <i/>
        <sz val="10"/>
        <color theme="0"/>
        <rFont val="Calibri"/>
        <family val="2"/>
        <charset val="238"/>
      </rPr>
      <t>(dane wg MSSF 16)</t>
    </r>
  </si>
  <si>
    <r>
      <t xml:space="preserve">Q4'24
</t>
    </r>
    <r>
      <rPr>
        <i/>
        <sz val="10"/>
        <color theme="0"/>
        <rFont val="Calibri"/>
        <family val="2"/>
        <charset val="238"/>
      </rPr>
      <t>(IFRS 16 basis)</t>
    </r>
  </si>
  <si>
    <r>
      <t xml:space="preserve">2023
</t>
    </r>
    <r>
      <rPr>
        <i/>
        <sz val="10"/>
        <color theme="0"/>
        <rFont val="Calibri"/>
        <family val="2"/>
        <charset val="238"/>
      </rPr>
      <t>(IFRS 16 basis)</t>
    </r>
  </si>
  <si>
    <r>
      <t xml:space="preserve">2024
</t>
    </r>
    <r>
      <rPr>
        <i/>
        <sz val="10"/>
        <color theme="0"/>
        <rFont val="Calibri"/>
        <family val="2"/>
        <charset val="238"/>
      </rPr>
      <t>(dane wg MSSF 16)</t>
    </r>
  </si>
  <si>
    <r>
      <t xml:space="preserve">2024
</t>
    </r>
    <r>
      <rPr>
        <i/>
        <sz val="10"/>
        <color theme="0"/>
        <rFont val="Calibri"/>
        <family val="2"/>
        <charset val="238"/>
      </rPr>
      <t>(IFRS 16 basis)</t>
    </r>
  </si>
  <si>
    <t>5)</t>
  </si>
  <si>
    <t>akcje przeznaczone do obrotu</t>
  </si>
  <si>
    <t>shares held for trading</t>
  </si>
  <si>
    <t>Koszty finansowe</t>
  </si>
  <si>
    <t>Przychody finansowe</t>
  </si>
  <si>
    <t>Financial income</t>
  </si>
  <si>
    <t>Finance costs</t>
  </si>
  <si>
    <t>5) Zmiana prezentacji zysku/straty z działalności inwestycyjnej i kosztów finansowych, netto. Dane za 2023 rok zostały przekształcone, a pozycje zostały zastąpione przez przychody i koszty finansowe.</t>
  </si>
  <si>
    <t>5) Change in the presentation of Gain/Loss on investment activities and finance cost, net. The data for 2023 has been restated, and the items have been replaced by financial income and financial expenses.</t>
  </si>
  <si>
    <r>
      <t>Inne wpływy/(wypływy)</t>
    </r>
    <r>
      <rPr>
        <vertAlign val="superscript"/>
        <sz val="10"/>
        <color indexed="8"/>
        <rFont val="Calibri"/>
        <family val="2"/>
        <charset val="238"/>
      </rPr>
      <t>3)</t>
    </r>
  </si>
  <si>
    <t>Pozostałe przychody ze sprzedaży</t>
  </si>
  <si>
    <t>Other revenue</t>
  </si>
  <si>
    <r>
      <t xml:space="preserve">Q1'25
</t>
    </r>
    <r>
      <rPr>
        <i/>
        <sz val="10"/>
        <color theme="0"/>
        <rFont val="Calibri"/>
        <family val="2"/>
        <charset val="238"/>
      </rPr>
      <t>(dane wg MSSF 16)</t>
    </r>
  </si>
  <si>
    <r>
      <t xml:space="preserve">Q1'25
</t>
    </r>
    <r>
      <rPr>
        <i/>
        <sz val="10"/>
        <color theme="0"/>
        <rFont val="Calibri"/>
        <family val="2"/>
        <charset val="238"/>
      </rPr>
      <t>(IFRS 16 basis)</t>
    </r>
  </si>
  <si>
    <t>2025 (dane wg MSSF 16)</t>
  </si>
  <si>
    <t>2025 (IFRS 16 basis)</t>
  </si>
  <si>
    <t>Jednorazowy koszt wynikający z modyfikacji przepływów pieniężnych w wyniku przedpłaty kredytu</t>
  </si>
  <si>
    <t>Strata na zbyciu akcji Asseco Poland S.A.</t>
  </si>
  <si>
    <t>Wpływ ze zbycia akcji Asseco Poland S.A.</t>
  </si>
  <si>
    <t>akcje/udziały w pozostałych jednostkach wyceniane do wartości godziwej przez wynik finansowy</t>
  </si>
  <si>
    <t>shares in associates valued in fair value through profit or loss</t>
  </si>
  <si>
    <t>Proceeds from the sale of shares in Asseco Poland S.A.</t>
  </si>
  <si>
    <t>Loss on the sale of shares in Asseco Poland S.A.</t>
  </si>
  <si>
    <t>One-off cost resulting from the modification of cash flows due to loan prepayment</t>
  </si>
  <si>
    <t>Odpisy aktualizujące wartość</t>
  </si>
  <si>
    <t>Zbycie aktywów</t>
  </si>
  <si>
    <t>EBITDA   adjusted</t>
  </si>
  <si>
    <t>EBITDA   adjusted margin</t>
  </si>
  <si>
    <t>Gain on disposal of a subsidiary and an associate 2)</t>
  </si>
  <si>
    <t>Disposal of Assets</t>
  </si>
  <si>
    <t>Impairment Losses</t>
  </si>
  <si>
    <t>Zysk/strata ze sprzedaży jednostki zależnej i stowarzyszonej2)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</si>
</sst>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1">
    <numFmt numFmtId="42" formatCode="_-* #,##0\ &quot;zł&quot;_-;\-* #,##0\ &quot;zł&quot;_-;_-* &quot;-&quot;\ &quot;zł&quot;_-;_-@_-"/>
    <numFmt numFmtId="44" formatCode="_-* #,##0.00\ &quot;zł&quot;_-;\-* #,##0.00\ &quot;zł&quot;_-;_-* &quot;-&quot;??\ &quot;zł&quot;_-;_-@_-"/>
    <numFmt numFmtId="43" formatCode="_-* #,##0.00_-;\-* #,##0.00_-;_-* &quot;-&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 numFmtId="216" formatCode="_-* #,##0_-;\-* #,##0_-;_-* &quot;-&quot;??_-;_-@_-"/>
    <numFmt numFmtId="217" formatCode="_(* #,##0.0_);_(* \(#,##0.0\);_(* &quot;-&quot;_);_(@_)"/>
    <numFmt numFmtId="218" formatCode="#,##0.0\ ;\(#,##0\);\-"/>
    <numFmt numFmtId="219" formatCode="#,##0.0_ ;\-#,##0.0\ "/>
    <numFmt numFmtId="220" formatCode="#,##0.0;\(#,##0.0\);0.0"/>
    <numFmt numFmtId="221" formatCode="#,##0.00_ ;\-#,##0.00\ "/>
  </numFmts>
  <fonts count="245">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i/>
      <sz val="9"/>
      <color indexed="8"/>
      <name val="Calibri"/>
      <family val="2"/>
      <charset val="238"/>
    </font>
    <font>
      <i/>
      <vertAlign val="superscript"/>
      <sz val="9"/>
      <color indexed="8"/>
      <name val="Calibri"/>
      <family val="2"/>
      <charset val="238"/>
    </font>
    <font>
      <sz val="9"/>
      <color rgb="FF000000"/>
      <name val="Arial"/>
      <family val="2"/>
      <charset val="238"/>
    </font>
    <font>
      <sz val="9"/>
      <color theme="0"/>
      <name val="Calibri"/>
      <family val="2"/>
      <charset val="238"/>
      <scheme val="minor"/>
    </font>
    <font>
      <sz val="9"/>
      <color rgb="FF0070C0"/>
      <name val="Calibri"/>
      <family val="2"/>
      <charset val="238"/>
    </font>
    <font>
      <b/>
      <sz val="9"/>
      <color indexed="8"/>
      <name val="Calibri"/>
      <family val="2"/>
      <charset val="238"/>
    </font>
    <font>
      <vertAlign val="superscript"/>
      <sz val="9"/>
      <name val="Calibri"/>
      <family val="2"/>
      <charset val="238"/>
      <scheme val="minor"/>
    </font>
    <font>
      <strike/>
      <sz val="9"/>
      <name val="Calibri"/>
      <family val="2"/>
      <charset val="238"/>
    </font>
    <font>
      <vertAlign val="superscript"/>
      <sz val="11"/>
      <color rgb="FF000000"/>
      <name val="Calibri"/>
      <family val="2"/>
      <charset val="238"/>
      <scheme val="minor"/>
    </font>
    <font>
      <sz val="11"/>
      <color rgb="FF172B4D"/>
      <name val="Segoe UI"/>
      <family val="2"/>
      <charset val="238"/>
    </font>
    <font>
      <i/>
      <sz val="10"/>
      <name val="Calibri"/>
      <family val="2"/>
      <charset val="238"/>
    </font>
    <font>
      <sz val="10"/>
      <color rgb="FF000000"/>
      <name val="Calibri"/>
      <family val="2"/>
      <charset val="238"/>
    </font>
    <font>
      <i/>
      <sz val="10"/>
      <color rgb="FF000000"/>
      <name val="Calibri"/>
      <family val="2"/>
      <charset val="238"/>
    </font>
    <font>
      <sz val="9"/>
      <name val="Arial"/>
      <family val="2"/>
      <charset val="238"/>
    </font>
    <font>
      <sz val="10"/>
      <color rgb="FFFF0000"/>
      <name val="Czcionka tekstu podstawowego"/>
      <family val="2"/>
      <charset val="238"/>
    </font>
    <font>
      <b/>
      <sz val="22"/>
      <color indexed="8"/>
      <name val="Calibri"/>
      <family val="2"/>
      <charset val="238"/>
    </font>
    <font>
      <i/>
      <sz val="10"/>
      <name val="Calibri"/>
      <family val="2"/>
      <charset val="238"/>
      <scheme val="minor"/>
    </font>
    <font>
      <b/>
      <sz val="9"/>
      <color rgb="FFFF0000"/>
      <name val="Calibri"/>
      <family val="2"/>
      <charset val="238"/>
    </font>
    <font>
      <i/>
      <sz val="9"/>
      <name val="Calibri"/>
      <family val="2"/>
      <charset val="238"/>
    </font>
    <font>
      <i/>
      <sz val="10"/>
      <color indexed="8"/>
      <name val="Calibri"/>
      <family val="2"/>
      <charset val="238"/>
      <scheme val="minor"/>
    </font>
    <font>
      <b/>
      <i/>
      <sz val="10"/>
      <color theme="1"/>
      <name val="Calibri"/>
      <family val="2"/>
      <charset val="238"/>
    </font>
    <font>
      <b/>
      <sz val="14"/>
      <color theme="0"/>
      <name val="Calibri"/>
      <family val="2"/>
      <charset val="238"/>
    </font>
    <font>
      <b/>
      <sz val="11"/>
      <color rgb="FFFF0000"/>
      <name val="Calibri"/>
      <family val="2"/>
      <charset val="238"/>
      <scheme val="minor"/>
    </font>
    <font>
      <sz val="8"/>
      <color theme="1"/>
      <name val="Times New Roman"/>
      <family val="1"/>
      <charset val="238"/>
    </font>
    <font>
      <b/>
      <vertAlign val="superscript"/>
      <sz val="10"/>
      <color indexed="8"/>
      <name val="Calibri"/>
      <family val="2"/>
      <charset val="238"/>
    </font>
    <font>
      <sz val="10"/>
      <color theme="0" tint="-0.499984740745262"/>
      <name val="Calibri"/>
      <family val="2"/>
      <charset val="238"/>
    </font>
    <font>
      <b/>
      <sz val="10"/>
      <color theme="0" tint="-0.499984740745262"/>
      <name val="Calibri"/>
      <family val="2"/>
      <charset val="238"/>
    </font>
  </fonts>
  <fills count="94">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gray125">
        <fgColor rgb="FF03ACE5"/>
      </patternFill>
    </fill>
    <fill>
      <patternFill patternType="solid">
        <fgColor rgb="FF00B0F0"/>
        <bgColor indexed="64"/>
      </patternFill>
    </fill>
    <fill>
      <patternFill patternType="lightGray">
        <fgColor theme="0"/>
      </patternFill>
    </fill>
    <fill>
      <patternFill patternType="solid">
        <fgColor theme="0"/>
        <bgColor theme="0"/>
      </patternFill>
    </fill>
    <fill>
      <patternFill patternType="solid">
        <fgColor indexed="65"/>
        <bgColor theme="0"/>
      </patternFill>
    </fill>
    <fill>
      <patternFill patternType="solid">
        <fgColor rgb="FFE7EEF5"/>
        <bgColor rgb="FFE4EDF8"/>
      </patternFill>
    </fill>
    <fill>
      <patternFill patternType="solid">
        <fgColor rgb="FF2E83BF"/>
        <bgColor theme="0"/>
      </patternFill>
    </fill>
    <fill>
      <patternFill patternType="solid">
        <fgColor rgb="FF03ACE5"/>
        <bgColor theme="0"/>
      </patternFill>
    </fill>
    <fill>
      <patternFill patternType="solid">
        <fgColor theme="4" tint="0.79998168889431442"/>
        <bgColor theme="0"/>
      </patternFill>
    </fill>
    <fill>
      <patternFill patternType="solid">
        <fgColor theme="0" tint="-0.14999847407452621"/>
        <bgColor indexed="64"/>
      </patternFill>
    </fill>
  </fills>
  <borders count="148">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medium">
        <color rgb="FF03ACE5"/>
      </bottom>
      <diagonal/>
    </border>
    <border>
      <left/>
      <right style="medium">
        <color indexed="64"/>
      </right>
      <top/>
      <bottom style="medium">
        <color rgb="FF03ACE5"/>
      </bottom>
      <diagonal/>
    </border>
    <border>
      <left/>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right/>
      <top/>
      <bottom style="thin">
        <color rgb="FF1082BF"/>
      </bottom>
      <diagonal/>
    </border>
    <border>
      <left style="thin">
        <color theme="0"/>
      </left>
      <right/>
      <top style="thin">
        <color theme="0"/>
      </top>
      <bottom style="thin">
        <color theme="0"/>
      </bottom>
      <diagonal/>
    </border>
    <border>
      <left/>
      <right style="thin">
        <color theme="0"/>
      </right>
      <top style="thin">
        <color theme="0"/>
      </top>
      <bottom/>
      <diagonal/>
    </border>
    <border>
      <left/>
      <right style="medium">
        <color rgb="FF03ACE5"/>
      </right>
      <top style="thin">
        <color theme="0"/>
      </top>
      <bottom/>
      <diagonal/>
    </border>
    <border>
      <left style="medium">
        <color indexed="64"/>
      </left>
      <right style="medium">
        <color rgb="FF03ACE5"/>
      </right>
      <top/>
      <bottom style="medium">
        <color rgb="FF03ACE5"/>
      </bottom>
      <diagonal/>
    </border>
    <border>
      <left style="medium">
        <color indexed="64"/>
      </left>
      <right style="medium">
        <color rgb="FF03ACE5"/>
      </right>
      <top/>
      <bottom/>
      <diagonal/>
    </border>
    <border>
      <left style="medium">
        <color indexed="64"/>
      </left>
      <right style="medium">
        <color rgb="FF03ACE5"/>
      </right>
      <top style="medium">
        <color rgb="FF03ACE5"/>
      </top>
      <bottom style="medium">
        <color rgb="FF03ACE5"/>
      </bottom>
      <diagonal/>
    </border>
    <border>
      <left/>
      <right style="medium">
        <color rgb="FF03ACE5"/>
      </right>
      <top/>
      <bottom/>
      <diagonal/>
    </border>
    <border>
      <left style="medium">
        <color rgb="FF03ACE5"/>
      </left>
      <right style="medium">
        <color rgb="FF03ACE5"/>
      </right>
      <top/>
      <bottom style="medium">
        <color rgb="FF03ACE5"/>
      </bottom>
      <diagonal/>
    </border>
    <border>
      <left style="medium">
        <color rgb="FF03ACE5"/>
      </left>
      <right/>
      <top style="thin">
        <color theme="0"/>
      </top>
      <bottom/>
      <diagonal/>
    </border>
    <border>
      <left style="medium">
        <color rgb="FF03ACE5"/>
      </left>
      <right/>
      <top/>
      <bottom style="medium">
        <color rgb="FF03ACE5"/>
      </bottom>
      <diagonal/>
    </border>
    <border>
      <left/>
      <right style="medium">
        <color rgb="FF03ACE5"/>
      </right>
      <top/>
      <bottom style="medium">
        <color rgb="FF03ACE5"/>
      </bottom>
      <diagonal/>
    </border>
    <border>
      <left style="medium">
        <color rgb="FF03ACE5"/>
      </left>
      <right/>
      <top/>
      <bottom/>
      <diagonal/>
    </border>
    <border>
      <left style="medium">
        <color rgb="FF03ACE5"/>
      </left>
      <right/>
      <top style="medium">
        <color rgb="FF03ACE5"/>
      </top>
      <bottom style="medium">
        <color rgb="FF03ACE5"/>
      </bottom>
      <diagonal/>
    </border>
    <border>
      <left/>
      <right style="medium">
        <color rgb="FF03ACE5"/>
      </right>
      <top style="medium">
        <color rgb="FF03ACE5"/>
      </top>
      <bottom style="medium">
        <color rgb="FF03ACE5"/>
      </bottom>
      <diagonal/>
    </border>
    <border>
      <left style="medium">
        <color rgb="FF03ACE5"/>
      </left>
      <right style="medium">
        <color rgb="FF03ACE5"/>
      </right>
      <top/>
      <bottom/>
      <diagonal/>
    </border>
    <border>
      <left style="medium">
        <color rgb="FF03ACE5"/>
      </left>
      <right style="medium">
        <color rgb="FF03ACE5"/>
      </right>
      <top style="medium">
        <color rgb="FF03ACE5"/>
      </top>
      <bottom style="medium">
        <color rgb="FF03ACE5"/>
      </bottom>
      <diagonal/>
    </border>
    <border>
      <left style="medium">
        <color rgb="FF0070C0"/>
      </left>
      <right style="medium">
        <color rgb="FF0070C0"/>
      </right>
      <top/>
      <bottom/>
      <diagonal/>
    </border>
    <border>
      <left style="medium">
        <color rgb="FF0070C0"/>
      </left>
      <right/>
      <top/>
      <bottom/>
      <diagonal/>
    </border>
    <border>
      <left/>
      <right style="medium">
        <color rgb="FF0070C0"/>
      </right>
      <top/>
      <bottom/>
      <diagonal/>
    </border>
    <border>
      <left/>
      <right style="medium">
        <color rgb="FF2E83BF"/>
      </right>
      <top/>
      <bottom/>
      <diagonal/>
    </border>
    <border>
      <left style="medium">
        <color rgb="FF2E83BF"/>
      </left>
      <right/>
      <top/>
      <bottom/>
      <diagonal/>
    </border>
    <border>
      <left style="medium">
        <color rgb="FF0070C0"/>
      </left>
      <right style="medium">
        <color rgb="FF0070C0"/>
      </right>
      <top/>
      <bottom style="medium">
        <color rgb="FF2E83BF"/>
      </bottom>
      <diagonal/>
    </border>
    <border>
      <left/>
      <right/>
      <top/>
      <bottom style="medium">
        <color rgb="FF2E83BF"/>
      </bottom>
      <diagonal/>
    </border>
    <border>
      <left style="medium">
        <color rgb="FF0070C0"/>
      </left>
      <right/>
      <top/>
      <bottom style="medium">
        <color rgb="FF2E83BF"/>
      </bottom>
      <diagonal/>
    </border>
    <border>
      <left style="medium">
        <color rgb="FF2E83BF"/>
      </left>
      <right/>
      <top/>
      <bottom style="medium">
        <color rgb="FF2E83BF"/>
      </bottom>
      <diagonal/>
    </border>
    <border>
      <left style="medium">
        <color rgb="FF0070C0"/>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style="medium">
        <color rgb="FF2E83BF"/>
      </left>
      <right/>
      <top/>
      <bottom style="medium">
        <color rgb="FF0070C0"/>
      </bottom>
      <diagonal/>
    </border>
    <border>
      <left style="medium">
        <color rgb="FF03ACE5"/>
      </left>
      <right/>
      <top style="thin">
        <color theme="0"/>
      </top>
      <bottom style="thin">
        <color theme="0"/>
      </bottom>
      <diagonal/>
    </border>
    <border>
      <left/>
      <right style="medium">
        <color rgb="FF03ACE5"/>
      </right>
      <top style="thin">
        <color theme="0"/>
      </top>
      <bottom style="thin">
        <color theme="0"/>
      </bottom>
      <diagonal/>
    </border>
    <border>
      <left style="medium">
        <color rgb="FF03ACE5"/>
      </left>
      <right/>
      <top style="thin">
        <color indexed="64"/>
      </top>
      <bottom/>
      <diagonal/>
    </border>
    <border>
      <left/>
      <right style="medium">
        <color rgb="FF03ACE5"/>
      </right>
      <top style="thin">
        <color indexed="64"/>
      </top>
      <bottom/>
      <diagonal/>
    </border>
    <border>
      <left style="medium">
        <color rgb="FF03ACE5"/>
      </left>
      <right style="medium">
        <color rgb="FF03ACE5"/>
      </right>
      <top/>
      <bottom style="thin">
        <color theme="0"/>
      </bottom>
      <diagonal/>
    </border>
    <border>
      <left style="medium">
        <color rgb="FF03ACE5"/>
      </left>
      <right style="medium">
        <color rgb="FF03ACE5"/>
      </right>
      <top style="thin">
        <color indexed="64"/>
      </top>
      <bottom/>
      <diagonal/>
    </border>
    <border>
      <left/>
      <right style="medium">
        <color rgb="FF0070C0"/>
      </right>
      <top/>
      <bottom style="medium">
        <color rgb="FF0070C0"/>
      </bottom>
      <diagonal/>
    </border>
    <border>
      <left/>
      <right style="medium">
        <color rgb="FF0070C0"/>
      </right>
      <top/>
      <bottom style="medium">
        <color rgb="FF2E83BF"/>
      </bottom>
      <diagonal/>
    </border>
    <border>
      <left/>
      <right/>
      <top/>
      <bottom style="medium">
        <color rgb="FF000000"/>
      </bottom>
      <diagonal/>
    </border>
    <border>
      <left/>
      <right style="medium">
        <color indexed="64"/>
      </right>
      <top/>
      <bottom style="medium">
        <color rgb="FF000000"/>
      </bottom>
      <diagonal/>
    </border>
    <border>
      <left/>
      <right/>
      <top style="thin">
        <color rgb="FF03ACE5"/>
      </top>
      <bottom style="thin">
        <color rgb="FF03ACE5"/>
      </bottom>
      <diagonal/>
    </border>
    <border>
      <left/>
      <right style="medium">
        <color rgb="FF03ACE5"/>
      </right>
      <top style="medium">
        <color rgb="FF03ACE5"/>
      </top>
      <bottom/>
      <diagonal/>
    </border>
    <border>
      <left/>
      <right/>
      <top style="medium">
        <color rgb="FF03ACE5"/>
      </top>
      <bottom/>
      <diagonal/>
    </border>
    <border>
      <left/>
      <right style="thin">
        <color rgb="FF03ACE5"/>
      </right>
      <top style="thin">
        <color theme="0"/>
      </top>
      <bottom/>
      <diagonal/>
    </border>
    <border>
      <left style="thin">
        <color rgb="FF03ACE5"/>
      </left>
      <right/>
      <top style="thin">
        <color rgb="FF03ACE5"/>
      </top>
      <bottom style="thin">
        <color rgb="FF03ACE5"/>
      </bottom>
      <diagonal/>
    </border>
    <border>
      <left style="thin">
        <color rgb="FF03ACE5"/>
      </left>
      <right/>
      <top/>
      <bottom/>
      <diagonal/>
    </border>
    <border>
      <left style="thin">
        <color rgb="FF03ACE5"/>
      </left>
      <right/>
      <top style="thin">
        <color rgb="FF03ACE5"/>
      </top>
      <bottom/>
      <diagonal/>
    </border>
    <border>
      <left/>
      <right/>
      <top style="thin">
        <color rgb="FF03ACE5"/>
      </top>
      <bottom/>
      <diagonal/>
    </border>
    <border>
      <left style="thin">
        <color rgb="FF03ACE5"/>
      </left>
      <right/>
      <top/>
      <bottom style="thin">
        <color rgb="FF03ACE5"/>
      </bottom>
      <diagonal/>
    </border>
    <border>
      <left style="thin">
        <color rgb="FF1082BF"/>
      </left>
      <right style="thin">
        <color rgb="FF1082BF"/>
      </right>
      <top style="thin">
        <color rgb="FF03ACE5"/>
      </top>
      <bottom style="thin">
        <color rgb="FF03ACE5"/>
      </bottom>
      <diagonal/>
    </border>
    <border>
      <left style="thin">
        <color rgb="FF1082BF"/>
      </left>
      <right style="thin">
        <color rgb="FF1082BF"/>
      </right>
      <top/>
      <bottom/>
      <diagonal/>
    </border>
    <border>
      <left/>
      <right/>
      <top style="thin">
        <color theme="0"/>
      </top>
      <bottom style="thin">
        <color rgb="FF03ACE5"/>
      </bottom>
      <diagonal/>
    </border>
    <border>
      <left style="thin">
        <color rgb="FF1082BF"/>
      </left>
      <right/>
      <top style="thin">
        <color theme="0"/>
      </top>
      <bottom/>
      <diagonal/>
    </border>
    <border>
      <left style="thin">
        <color rgb="FF1082BF"/>
      </left>
      <right/>
      <top style="thin">
        <color rgb="FF03ACE5"/>
      </top>
      <bottom style="thin">
        <color rgb="FF03ACE5"/>
      </bottom>
      <diagonal/>
    </border>
    <border>
      <left/>
      <right style="thin">
        <color theme="0"/>
      </right>
      <top style="thin">
        <color theme="0"/>
      </top>
      <bottom style="thin">
        <color rgb="FF03ACE5"/>
      </bottom>
      <diagonal/>
    </border>
    <border>
      <left/>
      <right style="thin">
        <color theme="0"/>
      </right>
      <top style="thin">
        <color theme="0"/>
      </top>
      <bottom style="thin">
        <color theme="0"/>
      </bottom>
      <diagonal/>
    </border>
    <border>
      <left/>
      <right style="dashed">
        <color theme="0"/>
      </right>
      <top style="thin">
        <color theme="0"/>
      </top>
      <bottom style="thin">
        <color theme="0"/>
      </bottom>
      <diagonal/>
    </border>
    <border>
      <left style="thin">
        <color rgb="FF1082BF"/>
      </left>
      <right style="thin">
        <color rgb="FF1082BF"/>
      </right>
      <top style="thin">
        <color rgb="FF03ACE5"/>
      </top>
      <bottom/>
      <diagonal/>
    </border>
    <border>
      <left style="thin">
        <color rgb="FF1082BF"/>
      </left>
      <right style="thin">
        <color rgb="FF1082BF"/>
      </right>
      <top/>
      <bottom style="thin">
        <color rgb="FF03ACE5"/>
      </bottom>
      <diagonal/>
    </border>
    <border>
      <left style="thin">
        <color rgb="FF1082BF"/>
      </left>
      <right/>
      <top style="thin">
        <color rgb="FF03ACE5"/>
      </top>
      <bottom/>
      <diagonal/>
    </border>
    <border>
      <left style="thin">
        <color rgb="FF1082BF"/>
      </left>
      <right/>
      <top/>
      <bottom style="thin">
        <color rgb="FF03ACE5"/>
      </bottom>
      <diagonal/>
    </border>
    <border>
      <left/>
      <right style="thin">
        <color rgb="FF1082BF"/>
      </right>
      <top style="thin">
        <color rgb="FF03ACE5"/>
      </top>
      <bottom/>
      <diagonal/>
    </border>
    <border>
      <left/>
      <right style="thin">
        <color rgb="FF1082BF"/>
      </right>
      <top/>
      <bottom/>
      <diagonal/>
    </border>
  </borders>
  <cellStyleXfs count="42859">
    <xf numFmtId="0" fontId="0" fillId="0" borderId="0"/>
    <xf numFmtId="166" fontId="10" fillId="0" borderId="0" applyFont="0" applyFill="0" applyBorder="0" applyAlignment="0" applyProtection="0"/>
    <xf numFmtId="9" fontId="8" fillId="0" borderId="0" applyFont="0" applyFill="0" applyBorder="0" applyAlignment="0" applyProtection="0"/>
    <xf numFmtId="178" fontId="14" fillId="0" borderId="0"/>
    <xf numFmtId="178" fontId="14" fillId="0" borderId="0"/>
    <xf numFmtId="178" fontId="14" fillId="0" borderId="0"/>
    <xf numFmtId="9" fontId="14" fillId="0" borderId="0" applyFont="0" applyFill="0" applyBorder="0" applyAlignment="0" applyProtection="0"/>
    <xf numFmtId="9" fontId="14" fillId="0" borderId="0" applyFont="0" applyFill="0" applyBorder="0" applyAlignment="0" applyProtection="0"/>
    <xf numFmtId="166" fontId="8" fillId="0" borderId="0" applyFont="0" applyFill="0" applyBorder="0" applyAlignment="0" applyProtection="0"/>
    <xf numFmtId="0" fontId="66" fillId="0" borderId="0"/>
    <xf numFmtId="164" fontId="66" fillId="0" borderId="0" applyFont="0" applyFill="0" applyBorder="0" applyAlignment="0" applyProtection="0"/>
    <xf numFmtId="187" fontId="14" fillId="0" borderId="0"/>
    <xf numFmtId="0" fontId="67" fillId="0" borderId="0"/>
    <xf numFmtId="0" fontId="67" fillId="0" borderId="0"/>
    <xf numFmtId="0" fontId="67" fillId="0" borderId="0"/>
    <xf numFmtId="187" fontId="14" fillId="0" borderId="0"/>
    <xf numFmtId="0" fontId="7" fillId="0" borderId="0"/>
    <xf numFmtId="164" fontId="7" fillId="0" borderId="0" applyFont="0" applyFill="0" applyBorder="0" applyAlignment="0" applyProtection="0"/>
    <xf numFmtId="0" fontId="69" fillId="0" borderId="0"/>
    <xf numFmtId="0" fontId="7" fillId="0" borderId="0"/>
    <xf numFmtId="0" fontId="14" fillId="0" borderId="0"/>
    <xf numFmtId="0" fontId="70" fillId="0" borderId="0"/>
    <xf numFmtId="0" fontId="71" fillId="0" borderId="0"/>
    <xf numFmtId="168" fontId="72" fillId="0" borderId="0"/>
    <xf numFmtId="189" fontId="73" fillId="0" borderId="0" applyFont="0" applyFill="0" applyBorder="0" applyAlignment="0" applyProtection="0"/>
    <xf numFmtId="0" fontId="74" fillId="0" borderId="0">
      <alignment vertical="center"/>
    </xf>
    <xf numFmtId="1" fontId="72" fillId="0" borderId="0"/>
    <xf numFmtId="167" fontId="75" fillId="0" borderId="0"/>
    <xf numFmtId="2" fontId="72" fillId="0" borderId="0"/>
    <xf numFmtId="1" fontId="75" fillId="0" borderId="0"/>
    <xf numFmtId="1" fontId="76" fillId="0" borderId="0"/>
    <xf numFmtId="1" fontId="76" fillId="0" borderId="0"/>
    <xf numFmtId="1" fontId="76" fillId="0" borderId="0"/>
    <xf numFmtId="1" fontId="76" fillId="0" borderId="0"/>
    <xf numFmtId="190" fontId="77" fillId="0" borderId="0" applyFont="0" applyFill="0" applyBorder="0" applyAlignment="0" applyProtection="0"/>
    <xf numFmtId="38" fontId="78" fillId="0" borderId="0" applyFont="0" applyFill="0" applyBorder="0" applyAlignment="0" applyProtection="0"/>
    <xf numFmtId="0" fontId="79" fillId="35" borderId="0" applyNumberFormat="0" applyBorder="0" applyAlignment="0" applyProtection="0"/>
    <xf numFmtId="0" fontId="79" fillId="36" borderId="0" applyNumberFormat="0" applyBorder="0" applyAlignment="0" applyProtection="0"/>
    <xf numFmtId="0" fontId="79" fillId="37" borderId="0" applyNumberFormat="0" applyBorder="0" applyAlignment="0" applyProtection="0"/>
    <xf numFmtId="0" fontId="79" fillId="38" borderId="0" applyNumberFormat="0" applyBorder="0" applyAlignment="0" applyProtection="0"/>
    <xf numFmtId="0" fontId="79" fillId="39"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187" fontId="80" fillId="40" borderId="0" applyNumberFormat="0" applyBorder="0" applyAlignment="0" applyProtection="0"/>
    <xf numFmtId="0" fontId="14" fillId="12"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 fillId="35" borderId="0" applyNumberFormat="0" applyBorder="0" applyAlignment="0" applyProtection="0"/>
    <xf numFmtId="0" fontId="14" fillId="12"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187"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187"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187" fontId="80" fillId="41"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14" fillId="1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 fillId="36" borderId="0" applyNumberFormat="0" applyBorder="0" applyAlignment="0" applyProtection="0"/>
    <xf numFmtId="0" fontId="14" fillId="1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187"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187"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87" fontId="80"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14" fillId="2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 fillId="37" borderId="0" applyNumberFormat="0" applyBorder="0" applyAlignment="0" applyProtection="0"/>
    <xf numFmtId="0" fontId="14" fillId="2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87"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187"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187" fontId="80" fillId="40"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14" fillId="24"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 fillId="38" borderId="0" applyNumberFormat="0" applyBorder="0" applyAlignment="0" applyProtection="0"/>
    <xf numFmtId="0" fontId="14" fillId="24"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187"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187"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87" fontId="80"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14" fillId="2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 fillId="39" borderId="0" applyNumberFormat="0" applyBorder="0" applyAlignment="0" applyProtection="0"/>
    <xf numFmtId="0" fontId="14" fillId="2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87"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187"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7" fontId="8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14" fillId="3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 fillId="41" borderId="0" applyNumberFormat="0" applyBorder="0" applyAlignment="0" applyProtection="0"/>
    <xf numFmtId="0" fontId="14" fillId="3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7"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187"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187" fontId="80" fillId="4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14" fillId="1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 fillId="44" borderId="0" applyNumberFormat="0" applyBorder="0" applyAlignment="0" applyProtection="0"/>
    <xf numFmtId="0" fontId="14" fillId="1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187"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187"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187" fontId="8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14" fillId="17"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14" fillId="17"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187"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187"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87" fontId="80" fillId="46"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14" fillId="21"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 fillId="47" borderId="0" applyNumberFormat="0" applyBorder="0" applyAlignment="0" applyProtection="0"/>
    <xf numFmtId="0" fontId="14" fillId="21"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87"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187"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187" fontId="80"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14" fillId="25"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 fillId="38" borderId="0" applyNumberFormat="0" applyBorder="0" applyAlignment="0" applyProtection="0"/>
    <xf numFmtId="0" fontId="14" fillId="25"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187"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187"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187" fontId="80"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14" fillId="29"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 fillId="44" borderId="0" applyNumberFormat="0" applyBorder="0" applyAlignment="0" applyProtection="0"/>
    <xf numFmtId="0" fontId="14" fillId="29"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187"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187"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187" fontId="80" fillId="41"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14" fillId="33"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 fillId="48" borderId="0" applyNumberFormat="0" applyBorder="0" applyAlignment="0" applyProtection="0"/>
    <xf numFmtId="0" fontId="14" fillId="33"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187"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187"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187" fontId="8" fillId="49"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65" fillId="14"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1" fillId="14"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187" fontId="8" fillId="49"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14" borderId="0" applyNumberFormat="0" applyBorder="0" applyAlignment="0" applyProtection="0"/>
    <xf numFmtId="0" fontId="8" fillId="49" borderId="0" applyNumberFormat="0" applyBorder="0" applyAlignment="0" applyProtection="0"/>
    <xf numFmtId="187"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14" borderId="0" applyNumberFormat="0" applyBorder="0" applyAlignment="0" applyProtection="0"/>
    <xf numFmtId="0" fontId="8" fillId="49" borderId="0" applyNumberFormat="0" applyBorder="0" applyAlignment="0" applyProtection="0"/>
    <xf numFmtId="0" fontId="65"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187"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65" fillId="18"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1" fillId="18"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187"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1" fillId="18" borderId="0" applyNumberFormat="0" applyBorder="0" applyAlignment="0" applyProtection="0"/>
    <xf numFmtId="0" fontId="8" fillId="45" borderId="0" applyNumberFormat="0" applyBorder="0" applyAlignment="0" applyProtection="0"/>
    <xf numFmtId="187"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1" fillId="18" borderId="0" applyNumberFormat="0" applyBorder="0" applyAlignment="0" applyProtection="0"/>
    <xf numFmtId="0" fontId="8" fillId="45" borderId="0" applyNumberFormat="0" applyBorder="0" applyAlignment="0" applyProtection="0"/>
    <xf numFmtId="0" fontId="65"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187" fontId="8" fillId="46"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65" fillId="22"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1" fillId="22"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187" fontId="8" fillId="46"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1" fillId="22" borderId="0" applyNumberFormat="0" applyBorder="0" applyAlignment="0" applyProtection="0"/>
    <xf numFmtId="0" fontId="8" fillId="46" borderId="0" applyNumberFormat="0" applyBorder="0" applyAlignment="0" applyProtection="0"/>
    <xf numFmtId="187"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1" fillId="22" borderId="0" applyNumberFormat="0" applyBorder="0" applyAlignment="0" applyProtection="0"/>
    <xf numFmtId="0" fontId="8" fillId="46" borderId="0" applyNumberFormat="0" applyBorder="0" applyAlignment="0" applyProtection="0"/>
    <xf numFmtId="0" fontId="65"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187" fontId="8" fillId="4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65" fillId="2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1" fillId="2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187" fontId="8" fillId="43"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1" fillId="26" borderId="0" applyNumberFormat="0" applyBorder="0" applyAlignment="0" applyProtection="0"/>
    <xf numFmtId="0" fontId="8" fillId="43" borderId="0" applyNumberFormat="0" applyBorder="0" applyAlignment="0" applyProtection="0"/>
    <xf numFmtId="187"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1" fillId="26" borderId="0" applyNumberFormat="0" applyBorder="0" applyAlignment="0" applyProtection="0"/>
    <xf numFmtId="0" fontId="8" fillId="43" borderId="0" applyNumberFormat="0" applyBorder="0" applyAlignment="0" applyProtection="0"/>
    <xf numFmtId="0" fontId="65"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187"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65" fillId="30"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1" fillId="30"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187"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30" borderId="0" applyNumberFormat="0" applyBorder="0" applyAlignment="0" applyProtection="0"/>
    <xf numFmtId="0" fontId="8" fillId="49" borderId="0" applyNumberFormat="0" applyBorder="0" applyAlignment="0" applyProtection="0"/>
    <xf numFmtId="187"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30" borderId="0" applyNumberFormat="0" applyBorder="0" applyAlignment="0" applyProtection="0"/>
    <xf numFmtId="0" fontId="8" fillId="49" borderId="0" applyNumberFormat="0" applyBorder="0" applyAlignment="0" applyProtection="0"/>
    <xf numFmtId="0" fontId="65"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187" fontId="8" fillId="41"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65" fillId="34"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1" fillId="34"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187" fontId="8" fillId="41"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1" fillId="34" borderId="0" applyNumberFormat="0" applyBorder="0" applyAlignment="0" applyProtection="0"/>
    <xf numFmtId="0" fontId="8" fillId="41" borderId="0" applyNumberFormat="0" applyBorder="0" applyAlignment="0" applyProtection="0"/>
    <xf numFmtId="187"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1" fillId="34" borderId="0" applyNumberFormat="0" applyBorder="0" applyAlignment="0" applyProtection="0"/>
    <xf numFmtId="0" fontId="8" fillId="41" borderId="0" applyNumberFormat="0" applyBorder="0" applyAlignment="0" applyProtection="0"/>
    <xf numFmtId="0" fontId="65"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2" fillId="53" borderId="0">
      <alignment horizontal="left" vertical="top"/>
    </xf>
    <xf numFmtId="191" fontId="78" fillId="0" borderId="0" applyFont="0" applyFill="0" applyBorder="0" applyAlignment="0" applyProtection="0"/>
    <xf numFmtId="187" fontId="8" fillId="49"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65" fillId="11"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1" fillId="11"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187" fontId="8" fillId="49"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11" borderId="0" applyNumberFormat="0" applyBorder="0" applyAlignment="0" applyProtection="0"/>
    <xf numFmtId="0" fontId="8" fillId="49" borderId="0" applyNumberFormat="0" applyBorder="0" applyAlignment="0" applyProtection="0"/>
    <xf numFmtId="187"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11" borderId="0" applyNumberFormat="0" applyBorder="0" applyAlignment="0" applyProtection="0"/>
    <xf numFmtId="0" fontId="8" fillId="49" borderId="0" applyNumberFormat="0" applyBorder="0" applyAlignment="0" applyProtection="0"/>
    <xf numFmtId="0" fontId="65"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187" fontId="8" fillId="47"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65" fillId="15"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1" fillId="15"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187" fontId="8" fillId="47"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1" fillId="15" borderId="0" applyNumberFormat="0" applyBorder="0" applyAlignment="0" applyProtection="0"/>
    <xf numFmtId="0" fontId="8" fillId="47" borderId="0" applyNumberFormat="0" applyBorder="0" applyAlignment="0" applyProtection="0"/>
    <xf numFmtId="187"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1" fillId="15" borderId="0" applyNumberFormat="0" applyBorder="0" applyAlignment="0" applyProtection="0"/>
    <xf numFmtId="0" fontId="8" fillId="47" borderId="0" applyNumberFormat="0" applyBorder="0" applyAlignment="0" applyProtection="0"/>
    <xf numFmtId="0" fontId="65" fillId="15"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187" fontId="8"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65" fillId="19"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1" fillId="19"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187" fontId="8"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1" fillId="19" borderId="0" applyNumberFormat="0" applyBorder="0" applyAlignment="0" applyProtection="0"/>
    <xf numFmtId="0" fontId="8" fillId="55" borderId="0" applyNumberFormat="0" applyBorder="0" applyAlignment="0" applyProtection="0"/>
    <xf numFmtId="187"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1" fillId="19" borderId="0" applyNumberFormat="0" applyBorder="0" applyAlignment="0" applyProtection="0"/>
    <xf numFmtId="0" fontId="8" fillId="55" borderId="0" applyNumberFormat="0" applyBorder="0" applyAlignment="0" applyProtection="0"/>
    <xf numFmtId="0" fontId="65"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187" fontId="8" fillId="5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65" fillId="2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1" fillId="2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187" fontId="8" fillId="56"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1" fillId="23" borderId="0" applyNumberFormat="0" applyBorder="0" applyAlignment="0" applyProtection="0"/>
    <xf numFmtId="0" fontId="8" fillId="56" borderId="0" applyNumberFormat="0" applyBorder="0" applyAlignment="0" applyProtection="0"/>
    <xf numFmtId="187"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1" fillId="23" borderId="0" applyNumberFormat="0" applyBorder="0" applyAlignment="0" applyProtection="0"/>
    <xf numFmtId="0" fontId="8" fillId="56" borderId="0" applyNumberFormat="0" applyBorder="0" applyAlignment="0" applyProtection="0"/>
    <xf numFmtId="0" fontId="65"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187"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65" fillId="27"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1" fillId="27"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187"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27" borderId="0" applyNumberFormat="0" applyBorder="0" applyAlignment="0" applyProtection="0"/>
    <xf numFmtId="0" fontId="8" fillId="49" borderId="0" applyNumberFormat="0" applyBorder="0" applyAlignment="0" applyProtection="0"/>
    <xf numFmtId="187"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27" borderId="0" applyNumberFormat="0" applyBorder="0" applyAlignment="0" applyProtection="0"/>
    <xf numFmtId="0" fontId="8" fillId="49" borderId="0" applyNumberFormat="0" applyBorder="0" applyAlignment="0" applyProtection="0"/>
    <xf numFmtId="0" fontId="65"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187" fontId="8"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65" fillId="31"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1" fillId="31"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187" fontId="8"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1" fillId="31" borderId="0" applyNumberFormat="0" applyBorder="0" applyAlignment="0" applyProtection="0"/>
    <xf numFmtId="0" fontId="8" fillId="57" borderId="0" applyNumberFormat="0" applyBorder="0" applyAlignment="0" applyProtection="0"/>
    <xf numFmtId="187"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1" fillId="31" borderId="0" applyNumberFormat="0" applyBorder="0" applyAlignment="0" applyProtection="0"/>
    <xf numFmtId="0" fontId="8" fillId="57" borderId="0" applyNumberFormat="0" applyBorder="0" applyAlignment="0" applyProtection="0"/>
    <xf numFmtId="0" fontId="65"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192" fontId="69" fillId="0" borderId="0" applyFill="0" applyBorder="0" applyAlignment="0"/>
    <xf numFmtId="164" fontId="69" fillId="0" borderId="0" applyFont="0" applyFill="0" applyBorder="0" applyAlignment="0" applyProtection="0"/>
    <xf numFmtId="187"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58" fillId="7" borderId="23"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4" fillId="7" borderId="23"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187"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4" fillId="7" borderId="23" applyNumberFormat="0" applyAlignment="0" applyProtection="0"/>
    <xf numFmtId="0" fontId="8" fillId="0" borderId="0" applyNumberFormat="0" applyFont="0" applyFill="0" applyBorder="0" applyAlignment="0" applyProtection="0"/>
    <xf numFmtId="187"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4" fillId="7" borderId="23" applyNumberFormat="0" applyAlignment="0" applyProtection="0"/>
    <xf numFmtId="0" fontId="8" fillId="0" borderId="0" applyNumberFormat="0" applyFont="0" applyFill="0" applyBorder="0" applyAlignment="0" applyProtection="0"/>
    <xf numFmtId="0" fontId="58" fillId="7" borderId="23" applyNumberFormat="0" applyAlignment="0" applyProtection="0"/>
    <xf numFmtId="0" fontId="84" fillId="7" borderId="23" applyNumberFormat="0" applyAlignment="0" applyProtection="0"/>
    <xf numFmtId="0" fontId="84" fillId="7" borderId="23" applyNumberFormat="0" applyAlignment="0" applyProtection="0"/>
    <xf numFmtId="0" fontId="84" fillId="7" borderId="23" applyNumberFormat="0" applyAlignment="0" applyProtection="0"/>
    <xf numFmtId="187" fontId="85" fillId="40"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59" fillId="8" borderId="24"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40"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40"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6" fillId="8" borderId="24" applyNumberFormat="0" applyAlignment="0" applyProtection="0"/>
    <xf numFmtId="0" fontId="87" fillId="0" borderId="24"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187" fontId="85" fillId="40"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40" borderId="30" applyNumberFormat="0" applyAlignment="0" applyProtection="0"/>
    <xf numFmtId="0" fontId="85" fillId="40" borderId="30" applyNumberFormat="0" applyAlignment="0" applyProtection="0"/>
    <xf numFmtId="0" fontId="86" fillId="8" borderId="24" applyNumberFormat="0" applyAlignment="0" applyProtection="0"/>
    <xf numFmtId="0" fontId="8" fillId="0" borderId="0" applyNumberFormat="0" applyFont="0" applyFill="0" applyBorder="0" applyAlignment="0" applyProtection="0"/>
    <xf numFmtId="187" fontId="85" fillId="40"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40" borderId="30" applyNumberFormat="0" applyAlignment="0" applyProtection="0"/>
    <xf numFmtId="0" fontId="85" fillId="40" borderId="30" applyNumberFormat="0" applyAlignment="0" applyProtection="0"/>
    <xf numFmtId="0" fontId="86" fillId="8" borderId="24" applyNumberFormat="0" applyAlignment="0" applyProtection="0"/>
    <xf numFmtId="0" fontId="8" fillId="0" borderId="0" applyNumberFormat="0" applyFont="0" applyFill="0" applyBorder="0" applyAlignment="0" applyProtection="0"/>
    <xf numFmtId="0" fontId="59" fillId="8" borderId="24" applyNumberFormat="0" applyAlignment="0" applyProtection="0"/>
    <xf numFmtId="0" fontId="86" fillId="8" borderId="24" applyNumberFormat="0" applyAlignment="0" applyProtection="0"/>
    <xf numFmtId="0" fontId="87" fillId="0" borderId="24" applyNumberFormat="0" applyFill="0" applyAlignment="0" applyProtection="0"/>
    <xf numFmtId="0" fontId="87" fillId="0" borderId="24" applyNumberFormat="0" applyFill="0" applyAlignment="0" applyProtection="0"/>
    <xf numFmtId="0" fontId="86" fillId="8" borderId="24" applyNumberFormat="0" applyAlignment="0" applyProtection="0"/>
    <xf numFmtId="0" fontId="87" fillId="0" borderId="24" applyNumberFormat="0" applyFill="0" applyAlignment="0" applyProtection="0"/>
    <xf numFmtId="187"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55" fillId="4"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9" fillId="4" borderId="0" applyNumberFormat="0" applyBorder="0" applyAlignment="0" applyProtection="0"/>
    <xf numFmtId="0" fontId="89"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187"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9" fillId="4" borderId="0" applyNumberFormat="0" applyBorder="0" applyAlignment="0" applyProtection="0"/>
    <xf numFmtId="0" fontId="8" fillId="0" borderId="0" applyNumberFormat="0" applyFont="0" applyFill="0" applyBorder="0" applyAlignment="0" applyProtection="0"/>
    <xf numFmtId="187"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9" fillId="4" borderId="0" applyNumberFormat="0" applyBorder="0" applyAlignment="0" applyProtection="0"/>
    <xf numFmtId="0" fontId="8" fillId="0" borderId="0" applyNumberFormat="0" applyFont="0" applyFill="0" applyBorder="0" applyAlignment="0" applyProtection="0"/>
    <xf numFmtId="0" fontId="55" fillId="4" borderId="0" applyNumberFormat="0" applyBorder="0" applyAlignment="0" applyProtection="0"/>
    <xf numFmtId="0" fontId="89" fillId="4" borderId="0" applyNumberFormat="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4" borderId="0" applyNumberFormat="0" applyBorder="0" applyAlignment="0" applyProtection="0"/>
    <xf numFmtId="0" fontId="89" fillId="0" borderId="0" applyNumberFormat="0" applyFill="0" applyBorder="0" applyAlignment="0" applyProtection="0"/>
    <xf numFmtId="193" fontId="90" fillId="0" borderId="0">
      <alignment horizontal="center"/>
    </xf>
    <xf numFmtId="194" fontId="73" fillId="0" borderId="0" applyFont="0" applyFill="0" applyBorder="0" applyAlignment="0" applyProtection="0"/>
    <xf numFmtId="195" fontId="7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164" fontId="91" fillId="0" borderId="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164" fontId="69"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164" fontId="91"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8"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164" fontId="92" fillId="0" borderId="0" applyFont="0" applyFill="0" applyBorder="0" applyAlignment="0" applyProtection="0"/>
    <xf numFmtId="164" fontId="92" fillId="0" borderId="0" applyFont="0" applyFill="0" applyBorder="0" applyAlignment="0" applyProtection="0"/>
    <xf numFmtId="164" fontId="92" fillId="0" borderId="0" applyFont="0" applyFill="0" applyBorder="0" applyAlignment="0" applyProtection="0"/>
    <xf numFmtId="164" fontId="92" fillId="0" borderId="0" applyFont="0" applyFill="0" applyBorder="0" applyAlignment="0" applyProtection="0"/>
    <xf numFmtId="164" fontId="92" fillId="0" borderId="0" applyFont="0" applyFill="0" applyBorder="0" applyAlignment="0" applyProtection="0"/>
    <xf numFmtId="164" fontId="92"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6" fontId="73" fillId="0" borderId="0" applyFont="0" applyFill="0" applyBorder="0" applyAlignment="0" applyProtection="0"/>
    <xf numFmtId="164" fontId="69"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8" fillId="0" borderId="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164" fontId="45"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14" fillId="0" borderId="0" applyFont="0" applyFill="0" applyBorder="0" applyAlignment="0" applyProtection="0"/>
    <xf numFmtId="164" fontId="8" fillId="0" borderId="0" applyFont="0" applyFill="0" applyBorder="0" applyAlignment="0" applyProtection="0"/>
    <xf numFmtId="164" fontId="45" fillId="0" borderId="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45" fillId="0" borderId="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45" fillId="0" borderId="0" applyFont="0" applyFill="0" applyBorder="0" applyAlignment="0" applyProtection="0"/>
    <xf numFmtId="164" fontId="1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3" fillId="0" borderId="0" applyFont="0" applyFill="0" applyBorder="0" applyAlignment="0" applyProtection="0"/>
    <xf numFmtId="164" fontId="45" fillId="0" borderId="0" applyFont="0" applyFill="0" applyBorder="0" applyAlignment="0" applyProtection="0"/>
    <xf numFmtId="164" fontId="73"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0" fontId="8" fillId="0" borderId="0" applyNumberFormat="0" applyFont="0" applyFill="0" applyBorder="0" applyAlignment="0" applyProtection="0"/>
    <xf numFmtId="166" fontId="73" fillId="0" borderId="0" applyFont="0" applyFill="0" applyBorder="0" applyAlignment="0" applyProtection="0"/>
    <xf numFmtId="164" fontId="73"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14" fillId="0" borderId="0" applyFont="0" applyFill="0" applyBorder="0" applyAlignment="0" applyProtection="0"/>
    <xf numFmtId="164" fontId="7" fillId="0" borderId="0" applyFont="0" applyFill="0" applyBorder="0" applyAlignment="0" applyProtection="0"/>
    <xf numFmtId="164" fontId="93" fillId="0" borderId="0" applyFont="0" applyFill="0" applyBorder="0" applyAlignment="0" applyProtection="0"/>
    <xf numFmtId="0" fontId="94" fillId="0" borderId="0" applyNumberFormat="0" applyFill="0" applyBorder="0" applyAlignment="0" applyProtection="0"/>
    <xf numFmtId="187" fontId="73" fillId="0" borderId="0" applyFont="0" applyFill="0" applyBorder="0" applyAlignment="0" applyProtection="0"/>
    <xf numFmtId="178" fontId="69" fillId="0" borderId="0" applyFont="0" applyFill="0" applyBorder="0" applyAlignment="0" applyProtection="0"/>
    <xf numFmtId="178" fontId="73" fillId="0" borderId="0" applyFont="0" applyFill="0" applyBorder="0" applyAlignment="0" applyProtection="0"/>
    <xf numFmtId="0" fontId="73" fillId="0" borderId="0" applyFont="0" applyFill="0" applyBorder="0" applyAlignment="0" applyProtection="0"/>
    <xf numFmtId="178" fontId="73"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95" fillId="0" borderId="0" applyNumberFormat="0" applyFill="0" applyBorder="0" applyProtection="0">
      <alignment vertical="top"/>
    </xf>
    <xf numFmtId="3" fontId="96" fillId="59" borderId="0" applyNumberFormat="0" applyFont="0" applyBorder="0" applyAlignment="0">
      <protection hidden="1"/>
    </xf>
    <xf numFmtId="0" fontId="92" fillId="0" borderId="1">
      <alignment horizontal="center"/>
    </xf>
    <xf numFmtId="38" fontId="97" fillId="60" borderId="0" applyNumberFormat="0" applyBorder="0" applyAlignment="0" applyProtection="0"/>
    <xf numFmtId="3" fontId="98" fillId="0" borderId="0"/>
    <xf numFmtId="0" fontId="99" fillId="0" borderId="7" applyNumberFormat="0" applyAlignment="0" applyProtection="0">
      <alignment horizontal="left" vertical="center"/>
    </xf>
    <xf numFmtId="0" fontId="99" fillId="0" borderId="31">
      <alignment horizontal="left" vertical="center"/>
    </xf>
    <xf numFmtId="0" fontId="100" fillId="0" borderId="0"/>
    <xf numFmtId="0" fontId="101" fillId="0" borderId="0"/>
    <xf numFmtId="0" fontId="102" fillId="0" borderId="0"/>
    <xf numFmtId="0" fontId="103" fillId="0" borderId="0"/>
    <xf numFmtId="0" fontId="104" fillId="0" borderId="0"/>
    <xf numFmtId="187" fontId="105" fillId="0" borderId="0" applyNumberFormat="0" applyFill="0" applyBorder="0" applyAlignment="0" applyProtection="0">
      <alignment vertical="top"/>
      <protection locked="0"/>
    </xf>
    <xf numFmtId="196" fontId="106" fillId="0" borderId="0"/>
    <xf numFmtId="0" fontId="107" fillId="0" borderId="0" applyNumberFormat="0" applyFill="0" applyBorder="0" applyAlignment="0" applyProtection="0"/>
    <xf numFmtId="10" fontId="97" fillId="61" borderId="32" applyNumberFormat="0" applyBorder="0" applyAlignment="0" applyProtection="0"/>
    <xf numFmtId="42" fontId="108" fillId="0" borderId="0">
      <alignment horizontal="center"/>
    </xf>
    <xf numFmtId="197" fontId="109" fillId="0" borderId="0" applyFont="0" applyFill="0" applyBorder="0" applyAlignment="0" applyProtection="0"/>
    <xf numFmtId="198" fontId="75" fillId="0" borderId="0"/>
    <xf numFmtId="199" fontId="110" fillId="0" borderId="0"/>
    <xf numFmtId="200" fontId="106" fillId="0" borderId="0"/>
    <xf numFmtId="201" fontId="106" fillId="0" borderId="0"/>
    <xf numFmtId="187"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61" fillId="0" borderId="25"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2" fillId="0" borderId="25"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187"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112" fillId="0" borderId="25" applyNumberFormat="0" applyFill="0" applyAlignment="0" applyProtection="0"/>
    <xf numFmtId="0" fontId="8" fillId="0" borderId="0" applyNumberFormat="0" applyFont="0" applyFill="0" applyBorder="0" applyAlignment="0" applyProtection="0"/>
    <xf numFmtId="187"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112" fillId="0" borderId="25" applyNumberFormat="0" applyFill="0" applyAlignment="0" applyProtection="0"/>
    <xf numFmtId="0" fontId="8" fillId="0" borderId="0" applyNumberFormat="0" applyFont="0" applyFill="0" applyBorder="0" applyAlignment="0" applyProtection="0"/>
    <xf numFmtId="0" fontId="61" fillId="0" borderId="25" applyNumberFormat="0" applyFill="0" applyAlignment="0" applyProtection="0"/>
    <xf numFmtId="0" fontId="112" fillId="0" borderId="25" applyNumberFormat="0" applyFill="0" applyAlignment="0" applyProtection="0"/>
    <xf numFmtId="0" fontId="112" fillId="0" borderId="25" applyNumberFormat="0" applyFill="0" applyAlignment="0" applyProtection="0"/>
    <xf numFmtId="0" fontId="112" fillId="0" borderId="25" applyNumberFormat="0" applyFill="0" applyAlignment="0" applyProtection="0"/>
    <xf numFmtId="187" fontId="113"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62" fillId="9" borderId="26"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114" fillId="62" borderId="34" applyNumberFormat="0" applyAlignment="0" applyProtection="0"/>
    <xf numFmtId="0" fontId="8" fillId="0" borderId="0" applyNumberFormat="0" applyFont="0" applyFill="0" applyBorder="0" applyAlignment="0" applyProtection="0"/>
    <xf numFmtId="0" fontId="114" fillId="62" borderId="34" applyNumberFormat="0" applyAlignment="0" applyProtection="0"/>
    <xf numFmtId="0" fontId="8" fillId="0" borderId="0" applyNumberFormat="0" applyFont="0" applyFill="0" applyBorder="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5" fillId="9" borderId="26" applyNumberFormat="0" applyAlignment="0" applyProtection="0"/>
    <xf numFmtId="0" fontId="81" fillId="0" borderId="26" applyNumberFormat="0" applyFill="0" applyAlignment="0" applyProtection="0"/>
    <xf numFmtId="187" fontId="113"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187" fontId="113" fillId="62" borderId="34" applyNumberFormat="0" applyAlignment="0" applyProtection="0"/>
    <xf numFmtId="187" fontId="113"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115" fillId="9" borderId="26" applyNumberFormat="0" applyAlignment="0" applyProtection="0"/>
    <xf numFmtId="0" fontId="8" fillId="0" borderId="0" applyNumberFormat="0" applyFont="0" applyFill="0" applyBorder="0" applyAlignment="0" applyProtection="0"/>
    <xf numFmtId="187" fontId="113" fillId="62" borderId="34" applyNumberFormat="0" applyAlignment="0" applyProtection="0"/>
    <xf numFmtId="187" fontId="113"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115" fillId="9" borderId="26" applyNumberFormat="0" applyAlignment="0" applyProtection="0"/>
    <xf numFmtId="0" fontId="8" fillId="0" borderId="0" applyNumberFormat="0" applyFont="0" applyFill="0" applyBorder="0" applyAlignment="0" applyProtection="0"/>
    <xf numFmtId="0" fontId="62" fillId="9" borderId="26" applyNumberFormat="0" applyAlignment="0" applyProtection="0"/>
    <xf numFmtId="0" fontId="115" fillId="9" borderId="26" applyNumberFormat="0" applyAlignment="0" applyProtection="0"/>
    <xf numFmtId="0" fontId="81" fillId="0" borderId="26" applyNumberFormat="0" applyFill="0" applyAlignment="0" applyProtection="0"/>
    <xf numFmtId="0" fontId="81" fillId="0" borderId="26" applyNumberFormat="0" applyFill="0" applyAlignment="0" applyProtection="0"/>
    <xf numFmtId="0" fontId="115" fillId="9" borderId="26" applyNumberFormat="0" applyAlignment="0" applyProtection="0"/>
    <xf numFmtId="0" fontId="81" fillId="0" borderId="26" applyNumberFormat="0" applyFill="0" applyAlignment="0" applyProtection="0"/>
    <xf numFmtId="1" fontId="116" fillId="63" borderId="0"/>
    <xf numFmtId="202" fontId="69" fillId="0" borderId="0" applyFont="0" applyFill="0" applyBorder="0" applyAlignment="0" applyProtection="0"/>
    <xf numFmtId="193" fontId="117" fillId="0" borderId="0"/>
    <xf numFmtId="38" fontId="78" fillId="0" borderId="0" applyFont="0" applyFill="0" applyBorder="0" applyAlignment="0" applyProtection="0"/>
    <xf numFmtId="203" fontId="118" fillId="0" borderId="0" applyFont="0" applyFill="0" applyBorder="0" applyAlignment="0" applyProtection="0"/>
    <xf numFmtId="204" fontId="118" fillId="0" borderId="0" applyFont="0" applyFill="0" applyBorder="0" applyAlignment="0" applyProtection="0"/>
    <xf numFmtId="205" fontId="118" fillId="0" borderId="0" applyFont="0" applyFill="0" applyBorder="0" applyAlignment="0" applyProtection="0"/>
    <xf numFmtId="206" fontId="118" fillId="0" borderId="0" applyFont="0" applyFill="0" applyBorder="0" applyAlignment="0" applyProtection="0"/>
    <xf numFmtId="187" fontId="119" fillId="0" borderId="35"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52" fillId="0" borderId="2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9" fillId="0" borderId="35" applyNumberFormat="0" applyFill="0" applyAlignment="0" applyProtection="0"/>
    <xf numFmtId="0" fontId="119" fillId="0" borderId="35"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1" fillId="0" borderId="20" applyNumberFormat="0" applyFill="0" applyAlignment="0" applyProtection="0"/>
    <xf numFmtId="0" fontId="122" fillId="0" borderId="2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187" fontId="119" fillId="0" borderId="35" applyNumberFormat="0" applyFill="0" applyAlignment="0" applyProtection="0"/>
    <xf numFmtId="0" fontId="120" fillId="0" borderId="36" applyNumberFormat="0" applyFill="0" applyAlignment="0" applyProtection="0"/>
    <xf numFmtId="0" fontId="119" fillId="0" borderId="35" applyNumberFormat="0" applyFill="0" applyAlignment="0" applyProtection="0"/>
    <xf numFmtId="0" fontId="119" fillId="0" borderId="35" applyNumberFormat="0" applyFill="0" applyAlignment="0" applyProtection="0"/>
    <xf numFmtId="0" fontId="121" fillId="0" borderId="20" applyNumberFormat="0" applyFill="0" applyAlignment="0" applyProtection="0"/>
    <xf numFmtId="0" fontId="8" fillId="0" borderId="0" applyNumberFormat="0" applyFont="0" applyFill="0" applyBorder="0" applyAlignment="0" applyProtection="0"/>
    <xf numFmtId="187" fontId="119" fillId="0" borderId="35" applyNumberFormat="0" applyFill="0" applyAlignment="0" applyProtection="0"/>
    <xf numFmtId="0" fontId="119" fillId="0" borderId="35" applyNumberFormat="0" applyFill="0" applyAlignment="0" applyProtection="0"/>
    <xf numFmtId="0" fontId="119" fillId="0" borderId="35" applyNumberFormat="0" applyFill="0" applyAlignment="0" applyProtection="0"/>
    <xf numFmtId="0" fontId="121" fillId="0" borderId="20" applyNumberFormat="0" applyFill="0" applyAlignment="0" applyProtection="0"/>
    <xf numFmtId="0" fontId="8" fillId="0" borderId="0" applyNumberFormat="0" applyFont="0" applyFill="0" applyBorder="0" applyAlignment="0" applyProtection="0"/>
    <xf numFmtId="0" fontId="52" fillId="0" borderId="20" applyNumberFormat="0" applyFill="0" applyAlignment="0" applyProtection="0"/>
    <xf numFmtId="0" fontId="121" fillId="0" borderId="20" applyNumberFormat="0" applyFill="0" applyAlignment="0" applyProtection="0"/>
    <xf numFmtId="0" fontId="122" fillId="0" borderId="20" applyNumberFormat="0" applyFill="0" applyAlignment="0" applyProtection="0"/>
    <xf numFmtId="0" fontId="122" fillId="0" borderId="20" applyNumberFormat="0" applyFill="0" applyAlignment="0" applyProtection="0"/>
    <xf numFmtId="0" fontId="121" fillId="0" borderId="20" applyNumberFormat="0" applyFill="0" applyAlignment="0" applyProtection="0"/>
    <xf numFmtId="0" fontId="122" fillId="0" borderId="20" applyNumberFormat="0" applyFill="0" applyAlignment="0" applyProtection="0"/>
    <xf numFmtId="187" fontId="123" fillId="0" borderId="37"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53" fillId="0" borderId="21"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3" fillId="0" borderId="37" applyNumberFormat="0" applyFill="0" applyAlignment="0" applyProtection="0"/>
    <xf numFmtId="0" fontId="123" fillId="0" borderId="37"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5" fillId="0" borderId="21" applyNumberFormat="0" applyFill="0" applyAlignment="0" applyProtection="0"/>
    <xf numFmtId="0" fontId="122" fillId="0" borderId="21"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187" fontId="123" fillId="0" borderId="37" applyNumberFormat="0" applyFill="0" applyAlignment="0" applyProtection="0"/>
    <xf numFmtId="0" fontId="124" fillId="0" borderId="38"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5" fillId="0" borderId="21" applyNumberFormat="0" applyFill="0" applyAlignment="0" applyProtection="0"/>
    <xf numFmtId="0" fontId="8" fillId="0" borderId="0" applyNumberFormat="0" applyFont="0" applyFill="0" applyBorder="0" applyAlignment="0" applyProtection="0"/>
    <xf numFmtId="187"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5" fillId="0" borderId="21" applyNumberFormat="0" applyFill="0" applyAlignment="0" applyProtection="0"/>
    <xf numFmtId="0" fontId="8" fillId="0" borderId="0" applyNumberFormat="0" applyFont="0" applyFill="0" applyBorder="0" applyAlignment="0" applyProtection="0"/>
    <xf numFmtId="0" fontId="53" fillId="0" borderId="21" applyNumberFormat="0" applyFill="0" applyAlignment="0" applyProtection="0"/>
    <xf numFmtId="0" fontId="125" fillId="0" borderId="21" applyNumberFormat="0" applyFill="0" applyAlignment="0" applyProtection="0"/>
    <xf numFmtId="0" fontId="122" fillId="0" borderId="21" applyNumberFormat="0" applyFill="0" applyAlignment="0" applyProtection="0"/>
    <xf numFmtId="0" fontId="122" fillId="0" borderId="21" applyNumberFormat="0" applyFill="0" applyAlignment="0" applyProtection="0"/>
    <xf numFmtId="0" fontId="125" fillId="0" borderId="21" applyNumberFormat="0" applyFill="0" applyAlignment="0" applyProtection="0"/>
    <xf numFmtId="0" fontId="122" fillId="0" borderId="21" applyNumberFormat="0" applyFill="0" applyAlignment="0" applyProtection="0"/>
    <xf numFmtId="187" fontId="126" fillId="0" borderId="39"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54" fillId="0" borderId="22"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6" fillId="0" borderId="39" applyNumberFormat="0" applyFill="0" applyAlignment="0" applyProtection="0"/>
    <xf numFmtId="0" fontId="126" fillId="0" borderId="39"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8" fillId="0" borderId="22" applyNumberFormat="0" applyFill="0" applyAlignment="0" applyProtection="0"/>
    <xf numFmtId="0" fontId="122" fillId="0" borderId="22"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187" fontId="126" fillId="0" borderId="39" applyNumberFormat="0" applyFill="0" applyAlignment="0" applyProtection="0"/>
    <xf numFmtId="0" fontId="127" fillId="0" borderId="40" applyNumberFormat="0" applyFill="0" applyAlignment="0" applyProtection="0"/>
    <xf numFmtId="0" fontId="126" fillId="0" borderId="39" applyNumberFormat="0" applyFill="0" applyAlignment="0" applyProtection="0"/>
    <xf numFmtId="0" fontId="126" fillId="0" borderId="39" applyNumberFormat="0" applyFill="0" applyAlignment="0" applyProtection="0"/>
    <xf numFmtId="0" fontId="128" fillId="0" borderId="22" applyNumberFormat="0" applyFill="0" applyAlignment="0" applyProtection="0"/>
    <xf numFmtId="0" fontId="8" fillId="0" borderId="0" applyNumberFormat="0" applyFont="0" applyFill="0" applyBorder="0" applyAlignment="0" applyProtection="0"/>
    <xf numFmtId="187" fontId="126" fillId="0" borderId="39" applyNumberFormat="0" applyFill="0" applyAlignment="0" applyProtection="0"/>
    <xf numFmtId="0" fontId="126" fillId="0" borderId="39" applyNumberFormat="0" applyFill="0" applyAlignment="0" applyProtection="0"/>
    <xf numFmtId="0" fontId="126" fillId="0" borderId="39" applyNumberFormat="0" applyFill="0" applyAlignment="0" applyProtection="0"/>
    <xf numFmtId="0" fontId="128" fillId="0" borderId="22" applyNumberFormat="0" applyFill="0" applyAlignment="0" applyProtection="0"/>
    <xf numFmtId="0" fontId="8" fillId="0" borderId="0" applyNumberFormat="0" applyFont="0" applyFill="0" applyBorder="0" applyAlignment="0" applyProtection="0"/>
    <xf numFmtId="0" fontId="54" fillId="0" borderId="22" applyNumberFormat="0" applyFill="0" applyAlignment="0" applyProtection="0"/>
    <xf numFmtId="0" fontId="128" fillId="0" borderId="22" applyNumberFormat="0" applyFill="0" applyAlignment="0" applyProtection="0"/>
    <xf numFmtId="0" fontId="122" fillId="0" borderId="22" applyNumberFormat="0" applyFill="0" applyAlignment="0" applyProtection="0"/>
    <xf numFmtId="0" fontId="122" fillId="0" borderId="22" applyNumberFormat="0" applyFill="0" applyAlignment="0" applyProtection="0"/>
    <xf numFmtId="0" fontId="128" fillId="0" borderId="22" applyNumberFormat="0" applyFill="0" applyAlignment="0" applyProtection="0"/>
    <xf numFmtId="0" fontId="122" fillId="0" borderId="22" applyNumberFormat="0" applyFill="0" applyAlignment="0" applyProtection="0"/>
    <xf numFmtId="187" fontId="126"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54"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8" fillId="0" borderId="0" applyNumberFormat="0" applyFill="0" applyBorder="0" applyAlignment="0" applyProtection="0"/>
    <xf numFmtId="0" fontId="122"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187" fontId="126" fillId="0" borderId="0" applyNumberFormat="0" applyFill="0" applyBorder="0" applyAlignment="0" applyProtection="0"/>
    <xf numFmtId="0" fontId="127"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8" fillId="0" borderId="0" applyNumberFormat="0" applyFill="0" applyBorder="0" applyAlignment="0" applyProtection="0"/>
    <xf numFmtId="0" fontId="8" fillId="0" borderId="0" applyNumberFormat="0" applyFont="0" applyFill="0" applyBorder="0" applyAlignment="0" applyProtection="0"/>
    <xf numFmtId="187"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8" fillId="0" borderId="0" applyNumberFormat="0" applyFill="0" applyBorder="0" applyAlignment="0" applyProtection="0"/>
    <xf numFmtId="0" fontId="8" fillId="0" borderId="0" applyNumberFormat="0" applyFont="0" applyFill="0" applyBorder="0" applyAlignment="0" applyProtection="0"/>
    <xf numFmtId="0" fontId="54" fillId="0" borderId="0" applyNumberFormat="0" applyFill="0" applyBorder="0" applyAlignment="0" applyProtection="0"/>
    <xf numFmtId="0" fontId="128"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8" fillId="0" borderId="0" applyNumberFormat="0" applyFill="0" applyBorder="0" applyAlignment="0" applyProtection="0"/>
    <xf numFmtId="0" fontId="122" fillId="0" borderId="0" applyNumberFormat="0" applyFill="0" applyBorder="0" applyAlignment="0" applyProtection="0"/>
    <xf numFmtId="187"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57" fillId="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30" fillId="6" borderId="0" applyNumberFormat="0" applyBorder="0" applyAlignment="0" applyProtection="0"/>
    <xf numFmtId="0" fontId="130"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187"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130" fillId="6" borderId="0" applyNumberFormat="0" applyBorder="0" applyAlignment="0" applyProtection="0"/>
    <xf numFmtId="0" fontId="8" fillId="0" borderId="0" applyNumberFormat="0" applyFont="0" applyFill="0" applyBorder="0" applyAlignment="0" applyProtection="0"/>
    <xf numFmtId="187"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130" fillId="6" borderId="0" applyNumberFormat="0" applyBorder="0" applyAlignment="0" applyProtection="0"/>
    <xf numFmtId="0" fontId="8" fillId="0" borderId="0" applyNumberFormat="0" applyFont="0" applyFill="0" applyBorder="0" applyAlignment="0" applyProtection="0"/>
    <xf numFmtId="0" fontId="57" fillId="6" borderId="0" applyNumberFormat="0" applyBorder="0" applyAlignment="0" applyProtection="0"/>
    <xf numFmtId="0" fontId="130" fillId="6" borderId="0" applyNumberFormat="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6" borderId="0" applyNumberFormat="0" applyBorder="0" applyAlignment="0" applyProtection="0"/>
    <xf numFmtId="0" fontId="130" fillId="0" borderId="0" applyNumberFormat="0" applyFill="0" applyBorder="0" applyAlignment="0" applyProtection="0"/>
    <xf numFmtId="0" fontId="69" fillId="0" borderId="0"/>
    <xf numFmtId="0" fontId="73" fillId="0" borderId="0"/>
    <xf numFmtId="0" fontId="14" fillId="0" borderId="0"/>
    <xf numFmtId="0" fontId="14" fillId="0" borderId="0"/>
    <xf numFmtId="0" fontId="8" fillId="0" borderId="0" applyNumberFormat="0" applyFont="0" applyFill="0" applyBorder="0" applyAlignment="0" applyProtection="0"/>
    <xf numFmtId="0" fontId="8" fillId="0" borderId="0" applyNumberFormat="0" applyFont="0" applyFill="0" applyBorder="0" applyAlignment="0" applyProtection="0"/>
    <xf numFmtId="0" fontId="69" fillId="0" borderId="0"/>
    <xf numFmtId="0" fontId="131" fillId="0" borderId="0"/>
    <xf numFmtId="0" fontId="132" fillId="0" borderId="0" applyNumberFormat="0" applyFont="0" applyFill="0" applyBorder="0" applyAlignment="0" applyProtection="0">
      <protection locked="0"/>
    </xf>
    <xf numFmtId="187" fontId="45"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187" fontId="45" fillId="0" borderId="0"/>
    <xf numFmtId="0" fontId="73" fillId="0" borderId="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14"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7" fontId="45" fillId="0" borderId="0"/>
    <xf numFmtId="187" fontId="45" fillId="0" borderId="0"/>
    <xf numFmtId="0" fontId="14" fillId="0" borderId="0"/>
    <xf numFmtId="0" fontId="73" fillId="0" borderId="0"/>
    <xf numFmtId="0" fontId="73" fillId="0" borderId="0"/>
    <xf numFmtId="0" fontId="14" fillId="0" borderId="0"/>
    <xf numFmtId="0" fontId="14" fillId="0" borderId="0"/>
    <xf numFmtId="0" fontId="14" fillId="0" borderId="0" applyNumberFormat="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7"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xf numFmtId="0" fontId="73" fillId="0" borderId="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7" fillId="0" borderId="0"/>
    <xf numFmtId="0" fontId="7" fillId="0" borderId="0"/>
    <xf numFmtId="0" fontId="133" fillId="0" borderId="0"/>
    <xf numFmtId="0" fontId="7" fillId="0" borderId="0"/>
    <xf numFmtId="0" fontId="7" fillId="0" borderId="0"/>
    <xf numFmtId="0" fontId="7" fillId="0" borderId="0"/>
    <xf numFmtId="0" fontId="7" fillId="0" borderId="0"/>
    <xf numFmtId="0" fontId="7" fillId="0" borderId="0"/>
    <xf numFmtId="0" fontId="93" fillId="0" borderId="0"/>
    <xf numFmtId="0" fontId="7" fillId="0" borderId="0"/>
    <xf numFmtId="0" fontId="7" fillId="0" borderId="0"/>
    <xf numFmtId="187" fontId="45" fillId="0" borderId="0"/>
    <xf numFmtId="187" fontId="45" fillId="0" borderId="0"/>
    <xf numFmtId="0" fontId="14" fillId="0" borderId="0"/>
    <xf numFmtId="0" fontId="73" fillId="0" borderId="0"/>
    <xf numFmtId="0" fontId="14" fillId="0" borderId="0"/>
    <xf numFmtId="0" fontId="73" fillId="0" borderId="0"/>
    <xf numFmtId="0" fontId="14" fillId="0" borderId="0" applyNumberFormat="0" applyFont="0" applyFill="0" applyBorder="0" applyAlignment="0" applyProtection="0"/>
    <xf numFmtId="0" fontId="7" fillId="0" borderId="0"/>
    <xf numFmtId="0" fontId="7" fillId="0" borderId="0"/>
    <xf numFmtId="0" fontId="7" fillId="0" borderId="0"/>
    <xf numFmtId="0" fontId="7" fillId="0" borderId="0"/>
    <xf numFmtId="187" fontId="45" fillId="0" borderId="0"/>
    <xf numFmtId="187" fontId="45" fillId="0" borderId="0"/>
    <xf numFmtId="0" fontId="14" fillId="0" borderId="0"/>
    <xf numFmtId="0" fontId="14" fillId="0" borderId="0"/>
    <xf numFmtId="0" fontId="69" fillId="0" borderId="0"/>
    <xf numFmtId="0" fontId="14" fillId="0" borderId="0" applyNumberFormat="0" applyFill="0" applyBorder="0" applyAlignment="0" applyProtection="0"/>
    <xf numFmtId="187" fontId="73" fillId="0" borderId="0"/>
    <xf numFmtId="0" fontId="14" fillId="0" borderId="0"/>
    <xf numFmtId="0" fontId="14" fillId="0" borderId="0"/>
    <xf numFmtId="0" fontId="73" fillId="0" borderId="0"/>
    <xf numFmtId="0" fontId="73" fillId="0" borderId="0"/>
    <xf numFmtId="0" fontId="14" fillId="0" borderId="0" applyNumberFormat="0" applyFont="0" applyFill="0" applyBorder="0" applyAlignment="0" applyProtection="0"/>
    <xf numFmtId="0" fontId="69" fillId="0" borderId="0"/>
    <xf numFmtId="0" fontId="73" fillId="0" borderId="0"/>
    <xf numFmtId="187" fontId="45" fillId="0" borderId="0"/>
    <xf numFmtId="187" fontId="45" fillId="0" borderId="0"/>
    <xf numFmtId="0" fontId="14" fillId="0" borderId="0"/>
    <xf numFmtId="0" fontId="14" fillId="0" borderId="0"/>
    <xf numFmtId="0" fontId="69" fillId="0" borderId="0"/>
    <xf numFmtId="0" fontId="14" fillId="0" borderId="0" applyNumberFormat="0" applyFill="0" applyBorder="0" applyAlignment="0" applyProtection="0"/>
    <xf numFmtId="0" fontId="14" fillId="0" borderId="0"/>
    <xf numFmtId="0" fontId="14" fillId="0" borderId="0"/>
    <xf numFmtId="0" fontId="69" fillId="0" borderId="0"/>
    <xf numFmtId="0" fontId="14" fillId="0" borderId="0" applyNumberFormat="0" applyFill="0" applyBorder="0" applyAlignment="0" applyProtection="0"/>
    <xf numFmtId="187" fontId="45" fillId="0" borderId="0"/>
    <xf numFmtId="0" fontId="14" fillId="0" borderId="0"/>
    <xf numFmtId="0" fontId="69" fillId="0" borderId="0"/>
    <xf numFmtId="0" fontId="73" fillId="0" borderId="0"/>
    <xf numFmtId="187" fontId="45"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187" fontId="73" fillId="0" borderId="0"/>
    <xf numFmtId="187" fontId="79" fillId="0" borderId="0" applyFill="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3" fillId="0" borderId="0"/>
    <xf numFmtId="0" fontId="70" fillId="0" borderId="0"/>
    <xf numFmtId="0" fontId="70" fillId="0" borderId="0"/>
    <xf numFmtId="0" fontId="14" fillId="0" borderId="0" applyNumberFormat="0" applyFont="0" applyFill="0" applyBorder="0" applyAlignment="0" applyProtection="0"/>
    <xf numFmtId="188" fontId="73" fillId="0" borderId="0"/>
    <xf numFmtId="0" fontId="70" fillId="0" borderId="0"/>
    <xf numFmtId="0" fontId="70"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187" fontId="7" fillId="0" borderId="0"/>
    <xf numFmtId="0" fontId="73" fillId="0" borderId="0"/>
    <xf numFmtId="0" fontId="7" fillId="0" borderId="0" applyNumberFormat="0" applyFill="0" applyBorder="0" applyAlignment="0" applyProtection="0"/>
    <xf numFmtId="188" fontId="68"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3" fillId="0" borderId="0"/>
    <xf numFmtId="0" fontId="7" fillId="0" borderId="0"/>
    <xf numFmtId="0" fontId="14" fillId="0" borderId="0" applyNumberFormat="0" applyFont="0" applyFill="0" applyBorder="0" applyAlignment="0" applyProtection="0"/>
    <xf numFmtId="187" fontId="7" fillId="0" borderId="0"/>
    <xf numFmtId="187" fontId="14" fillId="0" borderId="0"/>
    <xf numFmtId="187" fontId="14" fillId="0" borderId="0"/>
    <xf numFmtId="0" fontId="7" fillId="0" borderId="0"/>
    <xf numFmtId="0" fontId="7" fillId="0" borderId="0"/>
    <xf numFmtId="0" fontId="69" fillId="0" borderId="0"/>
    <xf numFmtId="0" fontId="7" fillId="0" borderId="0"/>
    <xf numFmtId="0" fontId="7" fillId="0" borderId="0" applyNumberFormat="0" applyFill="0" applyBorder="0" applyAlignment="0" applyProtection="0"/>
    <xf numFmtId="187" fontId="8" fillId="0" borderId="0"/>
    <xf numFmtId="0" fontId="7" fillId="0" borderId="0"/>
    <xf numFmtId="0" fontId="7"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14" fillId="0" borderId="0" applyNumberFormat="0" applyFill="0" applyBorder="0" applyAlignment="0" applyProtection="0"/>
    <xf numFmtId="0" fontId="91" fillId="0" borderId="0"/>
    <xf numFmtId="0" fontId="91" fillId="0" borderId="0"/>
    <xf numFmtId="0" fontId="14" fillId="0" borderId="0" applyNumberFormat="0" applyFill="0" applyBorder="0" applyAlignment="0" applyProtection="0"/>
    <xf numFmtId="0" fontId="91" fillId="0" borderId="0"/>
    <xf numFmtId="0" fontId="91" fillId="0" borderId="0"/>
    <xf numFmtId="0" fontId="14" fillId="0" borderId="0" applyNumberFormat="0" applyFont="0" applyFill="0" applyBorder="0" applyAlignment="0" applyProtection="0"/>
    <xf numFmtId="0" fontId="73" fillId="0" borderId="0"/>
    <xf numFmtId="0" fontId="73" fillId="0" borderId="0"/>
    <xf numFmtId="0" fontId="73" fillId="0" borderId="0"/>
    <xf numFmtId="187" fontId="73" fillId="0" borderId="0"/>
    <xf numFmtId="0" fontId="73" fillId="0" borderId="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34" fillId="0" borderId="0"/>
    <xf numFmtId="187"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0" fontId="69" fillId="0" borderId="0"/>
    <xf numFmtId="0" fontId="14" fillId="0" borderId="0" applyNumberFormat="0" applyFont="0" applyFill="0" applyBorder="0" applyAlignment="0" applyProtection="0"/>
    <xf numFmtId="0" fontId="69" fillId="0" borderId="0"/>
    <xf numFmtId="0" fontId="69" fillId="0" borderId="0"/>
    <xf numFmtId="0" fontId="70"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187" fontId="69" fillId="0" borderId="0"/>
    <xf numFmtId="187" fontId="69" fillId="0" borderId="0"/>
    <xf numFmtId="0" fontId="70" fillId="0" borderId="0"/>
    <xf numFmtId="187" fontId="14" fillId="0" borderId="0"/>
    <xf numFmtId="0" fontId="70" fillId="0" borderId="0"/>
    <xf numFmtId="0" fontId="14" fillId="0" borderId="0" applyNumberFormat="0" applyFont="0" applyFill="0" applyBorder="0" applyAlignment="0" applyProtection="0"/>
    <xf numFmtId="187" fontId="69" fillId="0" borderId="0"/>
    <xf numFmtId="0" fontId="70" fillId="0" borderId="0"/>
    <xf numFmtId="0" fontId="70" fillId="0" borderId="0"/>
    <xf numFmtId="0" fontId="14" fillId="0" borderId="0" applyNumberFormat="0" applyFont="0" applyFill="0" applyBorder="0" applyAlignment="0" applyProtection="0"/>
    <xf numFmtId="187" fontId="69" fillId="0" borderId="0"/>
    <xf numFmtId="0" fontId="70" fillId="0" borderId="0"/>
    <xf numFmtId="0" fontId="70" fillId="0" borderId="0"/>
    <xf numFmtId="0" fontId="14" fillId="0" borderId="0" applyNumberFormat="0" applyFont="0" applyFill="0" applyBorder="0" applyAlignment="0" applyProtection="0"/>
    <xf numFmtId="187" fontId="69" fillId="0" borderId="0"/>
    <xf numFmtId="0" fontId="70" fillId="0" borderId="0"/>
    <xf numFmtId="0" fontId="70" fillId="0" borderId="0"/>
    <xf numFmtId="0" fontId="14" fillId="0" borderId="0" applyNumberFormat="0" applyFont="0" applyFill="0" applyBorder="0" applyAlignment="0" applyProtection="0"/>
    <xf numFmtId="187" fontId="69" fillId="0" borderId="0"/>
    <xf numFmtId="0" fontId="70" fillId="0" borderId="0"/>
    <xf numFmtId="0" fontId="70" fillId="0" borderId="0"/>
    <xf numFmtId="0" fontId="14" fillId="0" borderId="0" applyNumberFormat="0" applyFont="0" applyFill="0" applyBorder="0" applyAlignment="0" applyProtection="0"/>
    <xf numFmtId="187" fontId="73" fillId="0" borderId="0"/>
    <xf numFmtId="187" fontId="45"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0" fontId="45" fillId="0" borderId="0"/>
    <xf numFmtId="0" fontId="7" fillId="0" borderId="0"/>
    <xf numFmtId="0" fontId="73"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0" fontId="7" fillId="0" borderId="0"/>
    <xf numFmtId="0" fontId="7"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0" fontId="7" fillId="0" borderId="0"/>
    <xf numFmtId="0" fontId="7"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0" fontId="7" fillId="0" borderId="0"/>
    <xf numFmtId="0" fontId="7"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0" fontId="7" fillId="0" borderId="0"/>
    <xf numFmtId="0" fontId="7" fillId="0" borderId="0"/>
    <xf numFmtId="0" fontId="14" fillId="0" borderId="0"/>
    <xf numFmtId="0" fontId="69" fillId="0" borderId="0"/>
    <xf numFmtId="0" fontId="7" fillId="0" borderId="0"/>
    <xf numFmtId="0" fontId="7" fillId="0" borderId="0"/>
    <xf numFmtId="0" fontId="14" fillId="0" borderId="0"/>
    <xf numFmtId="0" fontId="108" fillId="0" borderId="0"/>
    <xf numFmtId="0" fontId="7" fillId="0" borderId="0"/>
    <xf numFmtId="0" fontId="7" fillId="0" borderId="0"/>
    <xf numFmtId="0" fontId="14" fillId="0" borderId="0"/>
    <xf numFmtId="0" fontId="108" fillId="0" borderId="0"/>
    <xf numFmtId="0" fontId="7" fillId="0" borderId="0"/>
    <xf numFmtId="0" fontId="7" fillId="0" borderId="0"/>
    <xf numFmtId="0" fontId="14" fillId="0" borderId="0"/>
    <xf numFmtId="0" fontId="108" fillId="0" borderId="0"/>
    <xf numFmtId="0" fontId="7" fillId="0" borderId="0"/>
    <xf numFmtId="0" fontId="7" fillId="0" borderId="0"/>
    <xf numFmtId="0" fontId="7" fillId="0" borderId="0"/>
    <xf numFmtId="0" fontId="14" fillId="0" borderId="0"/>
    <xf numFmtId="0" fontId="7" fillId="0" borderId="0"/>
    <xf numFmtId="0" fontId="91" fillId="0" borderId="0"/>
    <xf numFmtId="0" fontId="7" fillId="0" borderId="0"/>
    <xf numFmtId="187" fontId="73" fillId="0" borderId="0"/>
    <xf numFmtId="0" fontId="73" fillId="0" borderId="0"/>
    <xf numFmtId="0" fontId="14" fillId="0" borderId="0"/>
    <xf numFmtId="0" fontId="14" fillId="0" borderId="0" applyNumberFormat="0" applyFill="0" applyBorder="0" applyAlignment="0" applyProtection="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7" fillId="0" borderId="0" applyNumberFormat="0" applyFill="0" applyBorder="0" applyAlignment="0" applyProtection="0"/>
    <xf numFmtId="0" fontId="7" fillId="0" borderId="0"/>
    <xf numFmtId="0" fontId="7" fillId="0" borderId="0"/>
    <xf numFmtId="0" fontId="73" fillId="0" borderId="0"/>
    <xf numFmtId="0" fontId="14" fillId="0" borderId="0" applyNumberFormat="0" applyFont="0" applyFill="0" applyBorder="0" applyAlignment="0" applyProtection="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87" fontId="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73" fillId="0" borderId="0"/>
    <xf numFmtId="0" fontId="14" fillId="0" borderId="0" applyNumberFormat="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7" fontId="8" fillId="0" borderId="0"/>
    <xf numFmtId="0" fontId="73"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2" fillId="0" borderId="0"/>
    <xf numFmtId="0" fontId="14" fillId="0" borderId="0" applyNumberFormat="0" applyFont="0" applyFill="0" applyBorder="0" applyAlignment="0" applyProtection="0"/>
    <xf numFmtId="187" fontId="8" fillId="0" borderId="0"/>
    <xf numFmtId="0" fontId="92" fillId="0" borderId="0"/>
    <xf numFmtId="0" fontId="14" fillId="0" borderId="0" applyNumberFormat="0" applyFont="0" applyFill="0" applyBorder="0" applyAlignment="0" applyProtection="0"/>
    <xf numFmtId="187" fontId="8" fillId="0" borderId="0"/>
    <xf numFmtId="0" fontId="92" fillId="0" borderId="0"/>
    <xf numFmtId="0" fontId="14" fillId="0" borderId="0" applyNumberFormat="0" applyFont="0" applyFill="0" applyBorder="0" applyAlignment="0" applyProtection="0"/>
    <xf numFmtId="187" fontId="8" fillId="0" borderId="0"/>
    <xf numFmtId="0" fontId="92" fillId="0" borderId="0"/>
    <xf numFmtId="0" fontId="14" fillId="0" borderId="0"/>
    <xf numFmtId="187" fontId="8" fillId="0" borderId="0"/>
    <xf numFmtId="0" fontId="92" fillId="0" borderId="0"/>
    <xf numFmtId="0" fontId="14" fillId="0" borderId="0"/>
    <xf numFmtId="187" fontId="8" fillId="0" borderId="0"/>
    <xf numFmtId="187" fontId="73" fillId="0" borderId="0"/>
    <xf numFmtId="0" fontId="7" fillId="0" borderId="0"/>
    <xf numFmtId="0" fontId="14" fillId="0" borderId="0"/>
    <xf numFmtId="0" fontId="108" fillId="0" borderId="0"/>
    <xf numFmtId="0" fontId="7" fillId="0" borderId="0"/>
    <xf numFmtId="187" fontId="14" fillId="0" borderId="0"/>
    <xf numFmtId="0" fontId="7" fillId="0" borderId="0"/>
    <xf numFmtId="0" fontId="14" fillId="0" borderId="0"/>
    <xf numFmtId="0" fontId="7" fillId="0" borderId="0"/>
    <xf numFmtId="0" fontId="108" fillId="0" borderId="0"/>
    <xf numFmtId="0" fontId="7" fillId="0" borderId="0"/>
    <xf numFmtId="0" fontId="14" fillId="0" borderId="0"/>
    <xf numFmtId="0" fontId="69" fillId="0" borderId="0"/>
    <xf numFmtId="0" fontId="7" fillId="0" borderId="0"/>
    <xf numFmtId="0" fontId="7" fillId="0" borderId="0"/>
    <xf numFmtId="0" fontId="14" fillId="0" borderId="0"/>
    <xf numFmtId="0" fontId="69" fillId="0" borderId="0"/>
    <xf numFmtId="0" fontId="7" fillId="0" borderId="0"/>
    <xf numFmtId="0" fontId="7" fillId="0" borderId="0"/>
    <xf numFmtId="0" fontId="14" fillId="0" borderId="0"/>
    <xf numFmtId="0" fontId="69" fillId="0" borderId="0"/>
    <xf numFmtId="0" fontId="7" fillId="0" borderId="0"/>
    <xf numFmtId="0" fontId="7" fillId="0" borderId="0"/>
    <xf numFmtId="0" fontId="14" fillId="0" borderId="0"/>
    <xf numFmtId="0" fontId="73"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3" fillId="0" borderId="0"/>
    <xf numFmtId="0" fontId="7" fillId="0" borderId="0"/>
    <xf numFmtId="0" fontId="14" fillId="0" borderId="0"/>
    <xf numFmtId="0" fontId="7" fillId="0" borderId="0"/>
    <xf numFmtId="0" fontId="14" fillId="0" borderId="0"/>
    <xf numFmtId="187" fontId="45" fillId="0" borderId="0"/>
    <xf numFmtId="0" fontId="14" fillId="0" borderId="0"/>
    <xf numFmtId="0" fontId="14" fillId="0" borderId="0" applyNumberFormat="0" applyFill="0" applyBorder="0" applyAlignment="0" applyProtection="0"/>
    <xf numFmtId="187" fontId="7" fillId="0" borderId="0"/>
    <xf numFmtId="187" fontId="7" fillId="0" borderId="0"/>
    <xf numFmtId="0" fontId="14"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4" fillId="0" borderId="0" applyNumberFormat="0" applyFill="0" applyBorder="0" applyAlignment="0" applyProtection="0"/>
    <xf numFmtId="0" fontId="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 fillId="0" borderId="0"/>
    <xf numFmtId="0" fontId="7" fillId="0" borderId="0"/>
    <xf numFmtId="0" fontId="73" fillId="0" borderId="0"/>
    <xf numFmtId="0" fontId="7" fillId="0" borderId="0" applyNumberFormat="0" applyFill="0" applyBorder="0" applyAlignment="0" applyProtection="0"/>
    <xf numFmtId="187" fontId="73" fillId="0" borderId="0"/>
    <xf numFmtId="0" fontId="14" fillId="0" borderId="0"/>
    <xf numFmtId="0" fontId="73" fillId="0" borderId="0"/>
    <xf numFmtId="0" fontId="73" fillId="0" borderId="0"/>
    <xf numFmtId="0" fontId="14" fillId="0" borderId="0" applyNumberFormat="0" applyFont="0" applyFill="0" applyBorder="0" applyAlignment="0" applyProtection="0"/>
    <xf numFmtId="187" fontId="73" fillId="0" borderId="0"/>
    <xf numFmtId="0" fontId="73" fillId="0" borderId="0"/>
    <xf numFmtId="0" fontId="73" fillId="0" borderId="0"/>
    <xf numFmtId="0" fontId="14" fillId="0" borderId="0" applyNumberFormat="0" applyFont="0" applyFill="0" applyBorder="0" applyAlignment="0" applyProtection="0"/>
    <xf numFmtId="187" fontId="45" fillId="0" borderId="0"/>
    <xf numFmtId="0" fontId="14" fillId="0" borderId="0"/>
    <xf numFmtId="0" fontId="14" fillId="0" borderId="0"/>
    <xf numFmtId="0" fontId="14" fillId="0" borderId="0" applyNumberFormat="0" applyFill="0" applyBorder="0" applyAlignment="0" applyProtection="0"/>
    <xf numFmtId="187" fontId="45"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187" fontId="73" fillId="0" borderId="0"/>
    <xf numFmtId="0" fontId="73" fillId="0" borderId="0"/>
    <xf numFmtId="0" fontId="7" fillId="0" borderId="0"/>
    <xf numFmtId="0" fontId="14" fillId="0" borderId="0"/>
    <xf numFmtId="0" fontId="7" fillId="0" borderId="0"/>
    <xf numFmtId="187" fontId="14" fillId="0" borderId="0"/>
    <xf numFmtId="0" fontId="14" fillId="0" borderId="0"/>
    <xf numFmtId="0" fontId="14" fillId="0" borderId="0"/>
    <xf numFmtId="0" fontId="7" fillId="0" borderId="0"/>
    <xf numFmtId="0" fontId="14" fillId="0" borderId="0"/>
    <xf numFmtId="0" fontId="7" fillId="0" borderId="0"/>
    <xf numFmtId="0" fontId="14" fillId="0" borderId="0"/>
    <xf numFmtId="0" fontId="7" fillId="0" borderId="0"/>
    <xf numFmtId="0" fontId="14" fillId="0" borderId="0"/>
    <xf numFmtId="0" fontId="7" fillId="0" borderId="0"/>
    <xf numFmtId="0" fontId="14" fillId="0" borderId="0"/>
    <xf numFmtId="0" fontId="7" fillId="0" borderId="0"/>
    <xf numFmtId="0" fontId="14" fillId="0" borderId="0"/>
    <xf numFmtId="0" fontId="7" fillId="0" borderId="0"/>
    <xf numFmtId="188" fontId="14" fillId="0" borderId="0"/>
    <xf numFmtId="0" fontId="7" fillId="0" borderId="0"/>
    <xf numFmtId="0" fontId="14" fillId="0" borderId="0"/>
    <xf numFmtId="0" fontId="14" fillId="0" borderId="0"/>
    <xf numFmtId="0" fontId="7" fillId="0" borderId="0"/>
    <xf numFmtId="188" fontId="14" fillId="0" borderId="0"/>
    <xf numFmtId="0" fontId="7" fillId="0" borderId="0"/>
    <xf numFmtId="0" fontId="14" fillId="0" borderId="0"/>
    <xf numFmtId="0" fontId="14" fillId="0" borderId="0"/>
    <xf numFmtId="0" fontId="7" fillId="0" borderId="0"/>
    <xf numFmtId="187" fontId="14"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187" fontId="135" fillId="0" borderId="0"/>
    <xf numFmtId="0" fontId="73" fillId="0" borderId="0"/>
    <xf numFmtId="0" fontId="14" fillId="0" borderId="0"/>
    <xf numFmtId="0" fontId="14" fillId="0" borderId="0" applyNumberFormat="0" applyFont="0" applyFill="0" applyBorder="0" applyAlignment="0" applyProtection="0"/>
    <xf numFmtId="0" fontId="45" fillId="0" borderId="0"/>
    <xf numFmtId="0" fontId="135" fillId="0" borderId="0" applyNumberFormat="0" applyFill="0" applyBorder="0" applyAlignment="0" applyProtection="0"/>
    <xf numFmtId="0" fontId="13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14" fillId="0" borderId="0" applyNumberFormat="0" applyFont="0" applyFill="0" applyBorder="0" applyAlignment="0" applyProtection="0"/>
    <xf numFmtId="0" fontId="14" fillId="0" borderId="0"/>
    <xf numFmtId="0" fontId="7" fillId="0" borderId="0"/>
    <xf numFmtId="0" fontId="7" fillId="0" borderId="0" applyNumberFormat="0" applyFill="0" applyBorder="0" applyAlignment="0" applyProtection="0"/>
    <xf numFmtId="0" fontId="73" fillId="0" borderId="0"/>
    <xf numFmtId="0" fontId="7" fillId="0" borderId="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3" fillId="0" borderId="0"/>
    <xf numFmtId="0" fontId="14" fillId="0" borderId="0" applyNumberFormat="0" applyFont="0" applyFill="0" applyBorder="0" applyAlignment="0" applyProtection="0"/>
    <xf numFmtId="0" fontId="69" fillId="0" borderId="0"/>
    <xf numFmtId="0" fontId="135" fillId="0" borderId="0"/>
    <xf numFmtId="187" fontId="8" fillId="0" borderId="0"/>
    <xf numFmtId="0" fontId="14" fillId="0" borderId="0"/>
    <xf numFmtId="0" fontId="73" fillId="0" borderId="0"/>
    <xf numFmtId="0" fontId="14" fillId="0" borderId="0" applyNumberFormat="0" applyFont="0" applyFill="0" applyBorder="0" applyAlignment="0" applyProtection="0"/>
    <xf numFmtId="187" fontId="8" fillId="0" borderId="0"/>
    <xf numFmtId="0" fontId="135" fillId="0" borderId="0"/>
    <xf numFmtId="0" fontId="14" fillId="0" borderId="0" applyNumberFormat="0" applyFont="0" applyFill="0" applyBorder="0" applyAlignment="0" applyProtection="0"/>
    <xf numFmtId="187" fontId="8" fillId="0" borderId="0"/>
    <xf numFmtId="0" fontId="14" fillId="0" borderId="0" applyNumberFormat="0" applyFont="0" applyFill="0" applyBorder="0" applyAlignment="0" applyProtection="0"/>
    <xf numFmtId="187" fontId="8" fillId="0" borderId="0"/>
    <xf numFmtId="0" fontId="14" fillId="0" borderId="0" applyNumberFormat="0" applyFont="0" applyFill="0" applyBorder="0" applyAlignment="0" applyProtection="0"/>
    <xf numFmtId="187" fontId="8" fillId="0" borderId="0"/>
    <xf numFmtId="0" fontId="14" fillId="0" borderId="0" applyNumberFormat="0" applyFont="0" applyFill="0" applyBorder="0" applyAlignment="0" applyProtection="0"/>
    <xf numFmtId="187" fontId="8" fillId="0" borderId="0"/>
    <xf numFmtId="0" fontId="14" fillId="0" borderId="0" applyNumberFormat="0" applyFont="0" applyFill="0" applyBorder="0" applyAlignment="0" applyProtection="0"/>
    <xf numFmtId="187" fontId="8" fillId="0" borderId="0"/>
    <xf numFmtId="0" fontId="14" fillId="0" borderId="0" applyNumberFormat="0" applyFont="0" applyFill="0" applyBorder="0" applyAlignment="0" applyProtection="0"/>
    <xf numFmtId="187" fontId="73"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7" fillId="0" borderId="0"/>
    <xf numFmtId="187" fontId="45" fillId="0" borderId="0"/>
    <xf numFmtId="187" fontId="45" fillId="0" borderId="0"/>
    <xf numFmtId="0" fontId="73" fillId="0" borderId="0"/>
    <xf numFmtId="0" fontId="14" fillId="0" borderId="0" applyNumberFormat="0" applyFill="0" applyBorder="0" applyAlignment="0" applyProtection="0"/>
    <xf numFmtId="187" fontId="45" fillId="0" borderId="0"/>
    <xf numFmtId="0" fontId="14" fillId="0" borderId="0" applyNumberFormat="0" applyFill="0" applyBorder="0" applyAlignment="0" applyProtection="0"/>
    <xf numFmtId="0" fontId="73" fillId="0" borderId="0"/>
    <xf numFmtId="0" fontId="14" fillId="0" borderId="0"/>
    <xf numFmtId="0" fontId="14" fillId="0" borderId="0" applyNumberFormat="0" applyFill="0" applyBorder="0" applyAlignment="0" applyProtection="0"/>
    <xf numFmtId="188" fontId="45"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7" fontId="7" fillId="0" borderId="0"/>
    <xf numFmtId="0" fontId="7" fillId="0" borderId="0" applyNumberForma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187" fontId="45" fillId="0" borderId="0"/>
    <xf numFmtId="187" fontId="45" fillId="0" borderId="0"/>
    <xf numFmtId="0" fontId="14" fillId="0" borderId="0"/>
    <xf numFmtId="0" fontId="14" fillId="0" borderId="0" applyNumberFormat="0" applyFont="0" applyFill="0" applyBorder="0" applyAlignment="0" applyProtection="0"/>
    <xf numFmtId="0" fontId="73" fillId="0" borderId="0"/>
    <xf numFmtId="0" fontId="73" fillId="0" borderId="0"/>
    <xf numFmtId="0" fontId="14" fillId="0" borderId="0"/>
    <xf numFmtId="0" fontId="14" fillId="0" borderId="0" applyNumberFormat="0" applyFill="0" applyBorder="0" applyAlignment="0" applyProtection="0"/>
    <xf numFmtId="187" fontId="7"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7" fillId="0" borderId="0" applyNumberFormat="0" applyFill="0" applyBorder="0" applyAlignment="0" applyProtection="0"/>
    <xf numFmtId="0" fontId="14" fillId="0" borderId="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4" fillId="0" borderId="0"/>
    <xf numFmtId="0" fontId="7" fillId="0" borderId="0" applyNumberFormat="0" applyFill="0" applyBorder="0" applyAlignment="0" applyProtection="0"/>
    <xf numFmtId="0" fontId="7" fillId="0" borderId="0"/>
    <xf numFmtId="0" fontId="7" fillId="0" borderId="0"/>
    <xf numFmtId="0" fontId="14" fillId="0" borderId="0"/>
    <xf numFmtId="0" fontId="14" fillId="0" borderId="0" applyNumberFormat="0" applyFill="0" applyBorder="0" applyAlignment="0" applyProtection="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87" fontId="8" fillId="0" borderId="0"/>
    <xf numFmtId="187" fontId="8" fillId="0" borderId="0"/>
    <xf numFmtId="0" fontId="73" fillId="0" borderId="0"/>
    <xf numFmtId="187" fontId="45" fillId="0" borderId="0"/>
    <xf numFmtId="187" fontId="45" fillId="0" borderId="0"/>
    <xf numFmtId="0" fontId="14" fillId="0" borderId="0" applyNumberFormat="0" applyFill="0" applyBorder="0" applyAlignment="0" applyProtection="0"/>
    <xf numFmtId="187" fontId="8" fillId="0" borderId="0"/>
    <xf numFmtId="187" fontId="8" fillId="0" borderId="0"/>
    <xf numFmtId="0" fontId="73" fillId="0" borderId="0"/>
    <xf numFmtId="187" fontId="45" fillId="0" borderId="0"/>
    <xf numFmtId="187" fontId="45" fillId="0" borderId="0"/>
    <xf numFmtId="0" fontId="14" fillId="0" borderId="0" applyNumberFormat="0" applyFill="0" applyBorder="0" applyAlignment="0" applyProtection="0"/>
    <xf numFmtId="187" fontId="8" fillId="0" borderId="0"/>
    <xf numFmtId="187" fontId="8" fillId="0" borderId="0"/>
    <xf numFmtId="0" fontId="73" fillId="0" borderId="0"/>
    <xf numFmtId="187" fontId="45" fillId="0" borderId="0"/>
    <xf numFmtId="187" fontId="45" fillId="0" borderId="0"/>
    <xf numFmtId="0" fontId="14" fillId="0" borderId="0" applyNumberFormat="0" applyFill="0" applyBorder="0" applyAlignment="0" applyProtection="0"/>
    <xf numFmtId="187" fontId="8" fillId="0" borderId="0"/>
    <xf numFmtId="0" fontId="73" fillId="0" borderId="0"/>
    <xf numFmtId="0" fontId="14" fillId="0" borderId="0" applyNumberFormat="0" applyFill="0" applyBorder="0" applyAlignment="0" applyProtection="0"/>
    <xf numFmtId="187" fontId="8" fillId="0" borderId="0"/>
    <xf numFmtId="0" fontId="73" fillId="0" borderId="0"/>
    <xf numFmtId="0" fontId="14" fillId="0" borderId="0" applyNumberFormat="0" applyFill="0" applyBorder="0" applyAlignment="0" applyProtection="0"/>
    <xf numFmtId="187" fontId="8" fillId="0" borderId="0"/>
    <xf numFmtId="0" fontId="73" fillId="0" borderId="0"/>
    <xf numFmtId="0" fontId="14" fillId="0" borderId="0" applyNumberFormat="0" applyFill="0" applyBorder="0" applyAlignment="0" applyProtection="0"/>
    <xf numFmtId="187" fontId="73" fillId="0" borderId="0"/>
    <xf numFmtId="0" fontId="7" fillId="0" borderId="0"/>
    <xf numFmtId="0" fontId="14" fillId="0" borderId="0"/>
    <xf numFmtId="0" fontId="7" fillId="0" borderId="0"/>
    <xf numFmtId="0" fontId="7" fillId="0" borderId="0"/>
    <xf numFmtId="0" fontId="14"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3" fillId="0" borderId="0"/>
    <xf numFmtId="0" fontId="7" fillId="0" borderId="0"/>
    <xf numFmtId="0" fontId="7" fillId="0" borderId="0"/>
    <xf numFmtId="0" fontId="13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7" fontId="8" fillId="0" borderId="0"/>
    <xf numFmtId="187" fontId="8" fillId="0" borderId="0"/>
    <xf numFmtId="187" fontId="45" fillId="0" borderId="0"/>
    <xf numFmtId="187" fontId="45" fillId="0" borderId="0"/>
    <xf numFmtId="0" fontId="14" fillId="0" borderId="0"/>
    <xf numFmtId="0" fontId="14" fillId="0" borderId="0" applyNumberFormat="0" applyFill="0" applyBorder="0" applyAlignment="0" applyProtection="0"/>
    <xf numFmtId="187" fontId="7" fillId="0" borderId="0"/>
    <xf numFmtId="0" fontId="14" fillId="0" borderId="0"/>
    <xf numFmtId="0" fontId="7" fillId="0" borderId="0"/>
    <xf numFmtId="0" fontId="7" fillId="0" borderId="0"/>
    <xf numFmtId="0" fontId="14" fillId="0" borderId="0"/>
    <xf numFmtId="0" fontId="7" fillId="0" borderId="0" applyNumberFormat="0" applyFill="0" applyBorder="0" applyAlignment="0" applyProtection="0"/>
    <xf numFmtId="187" fontId="7" fillId="0" borderId="0"/>
    <xf numFmtId="187" fontId="7" fillId="0" borderId="0"/>
    <xf numFmtId="0" fontId="14" fillId="0" borderId="0"/>
    <xf numFmtId="0" fontId="7" fillId="0" borderId="0"/>
    <xf numFmtId="0" fontId="7" fillId="0" borderId="0"/>
    <xf numFmtId="0" fontId="7" fillId="0" borderId="0" applyNumberFormat="0" applyFill="0" applyBorder="0" applyAlignment="0" applyProtection="0"/>
    <xf numFmtId="187" fontId="7" fillId="0" borderId="0"/>
    <xf numFmtId="187" fontId="8" fillId="0" borderId="0"/>
    <xf numFmtId="0" fontId="14" fillId="0" borderId="0"/>
    <xf numFmtId="187" fontId="8" fillId="0" borderId="0"/>
    <xf numFmtId="0" fontId="14" fillId="0" borderId="0"/>
    <xf numFmtId="187" fontId="8" fillId="0" borderId="0"/>
    <xf numFmtId="187" fontId="8" fillId="0" borderId="0"/>
    <xf numFmtId="187" fontId="8" fillId="0" borderId="0"/>
    <xf numFmtId="187" fontId="8" fillId="0" borderId="0"/>
    <xf numFmtId="187" fontId="7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7" fontId="8" fillId="0" borderId="0"/>
    <xf numFmtId="187" fontId="8" fillId="0" borderId="0"/>
    <xf numFmtId="187" fontId="45" fillId="0" borderId="0"/>
    <xf numFmtId="187" fontId="45" fillId="0" borderId="0"/>
    <xf numFmtId="0" fontId="73" fillId="0" borderId="0"/>
    <xf numFmtId="0" fontId="14" fillId="0" borderId="0"/>
    <xf numFmtId="0" fontId="14" fillId="0" borderId="0" applyNumberFormat="0" applyFont="0" applyFill="0" applyBorder="0" applyAlignment="0" applyProtection="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4" fillId="0" borderId="0"/>
    <xf numFmtId="0" fontId="7" fillId="0" borderId="0" applyNumberFormat="0" applyFill="0" applyBorder="0" applyAlignment="0" applyProtection="0"/>
    <xf numFmtId="0" fontId="7" fillId="0" borderId="0"/>
    <xf numFmtId="0" fontId="7" fillId="0" borderId="0"/>
    <xf numFmtId="0" fontId="14" fillId="0" borderId="0"/>
    <xf numFmtId="0" fontId="14" fillId="0" borderId="0" applyNumberFormat="0" applyFill="0" applyBorder="0" applyAlignment="0" applyProtection="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87" fontId="7" fillId="0" borderId="0"/>
    <xf numFmtId="0" fontId="14" fillId="0" borderId="0"/>
    <xf numFmtId="0" fontId="7" fillId="0" borderId="0"/>
    <xf numFmtId="0" fontId="7" fillId="0" borderId="0"/>
    <xf numFmtId="0" fontId="7" fillId="0" borderId="0" applyNumberFormat="0" applyFill="0" applyBorder="0" applyAlignment="0" applyProtection="0"/>
    <xf numFmtId="187" fontId="7" fillId="0" borderId="0"/>
    <xf numFmtId="187" fontId="8" fillId="0" borderId="0"/>
    <xf numFmtId="0" fontId="69" fillId="0" borderId="0"/>
    <xf numFmtId="187" fontId="8" fillId="0" borderId="0"/>
    <xf numFmtId="0" fontId="69" fillId="0" borderId="0"/>
    <xf numFmtId="187" fontId="8" fillId="0" borderId="0"/>
    <xf numFmtId="187" fontId="8" fillId="0" borderId="0"/>
    <xf numFmtId="187" fontId="8" fillId="0" borderId="0"/>
    <xf numFmtId="187" fontId="8" fillId="0" borderId="0"/>
    <xf numFmtId="187" fontId="7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7" fontId="14" fillId="0" borderId="0"/>
    <xf numFmtId="187" fontId="14" fillId="0" borderId="0"/>
    <xf numFmtId="0" fontId="69" fillId="0" borderId="0"/>
    <xf numFmtId="187" fontId="45" fillId="0" borderId="0"/>
    <xf numFmtId="0" fontId="69" fillId="0" borderId="0"/>
    <xf numFmtId="187" fontId="45" fillId="0" borderId="0"/>
    <xf numFmtId="0" fontId="73" fillId="0" borderId="0"/>
    <xf numFmtId="0" fontId="14" fillId="0" borderId="0"/>
    <xf numFmtId="0" fontId="14" fillId="0" borderId="0" applyNumberFormat="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6" fillId="0" borderId="0" applyNumberFormat="0" applyFill="0" applyBorder="0" applyProtection="0">
      <alignment vertical="top" wrapText="1"/>
    </xf>
    <xf numFmtId="0" fontId="136" fillId="0" borderId="0" applyNumberFormat="0" applyFill="0" applyBorder="0" applyProtection="0">
      <alignment vertical="top" wrapText="1"/>
    </xf>
    <xf numFmtId="207" fontId="137" fillId="0" borderId="0" applyFill="0" applyBorder="0" applyProtection="0">
      <alignment horizontal="right" vertical="top"/>
    </xf>
    <xf numFmtId="187" fontId="138" fillId="40"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60" fillId="8" borderId="23"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40"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40"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9" fillId="8" borderId="23" applyNumberFormat="0" applyAlignment="0" applyProtection="0"/>
    <xf numFmtId="0" fontId="112" fillId="0" borderId="23"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187" fontId="138" fillId="40"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40" borderId="29" applyNumberFormat="0" applyAlignment="0" applyProtection="0"/>
    <xf numFmtId="0" fontId="138" fillId="40" borderId="29" applyNumberFormat="0" applyAlignment="0" applyProtection="0"/>
    <xf numFmtId="0" fontId="139" fillId="8" borderId="23" applyNumberFormat="0" applyAlignment="0" applyProtection="0"/>
    <xf numFmtId="0" fontId="14" fillId="0" borderId="0" applyNumberFormat="0" applyFont="0" applyFill="0" applyBorder="0" applyAlignment="0" applyProtection="0"/>
    <xf numFmtId="187" fontId="138" fillId="40"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40" borderId="29" applyNumberFormat="0" applyAlignment="0" applyProtection="0"/>
    <xf numFmtId="0" fontId="138" fillId="40" borderId="29" applyNumberFormat="0" applyAlignment="0" applyProtection="0"/>
    <xf numFmtId="0" fontId="139" fillId="8" borderId="23" applyNumberFormat="0" applyAlignment="0" applyProtection="0"/>
    <xf numFmtId="0" fontId="14" fillId="0" borderId="0" applyNumberFormat="0" applyFont="0" applyFill="0" applyBorder="0" applyAlignment="0" applyProtection="0"/>
    <xf numFmtId="0" fontId="60" fillId="8" borderId="23" applyNumberFormat="0" applyAlignment="0" applyProtection="0"/>
    <xf numFmtId="0" fontId="139" fillId="8" borderId="23" applyNumberFormat="0" applyAlignment="0" applyProtection="0"/>
    <xf numFmtId="0" fontId="112" fillId="0" borderId="23" applyNumberFormat="0" applyFill="0" applyAlignment="0" applyProtection="0"/>
    <xf numFmtId="0" fontId="112" fillId="0" borderId="23" applyNumberFormat="0" applyFill="0" applyAlignment="0" applyProtection="0"/>
    <xf numFmtId="0" fontId="139" fillId="8" borderId="23" applyNumberFormat="0" applyAlignment="0" applyProtection="0"/>
    <xf numFmtId="0" fontId="112" fillId="0" borderId="23" applyNumberFormat="0" applyFill="0" applyAlignment="0" applyProtection="0"/>
    <xf numFmtId="208" fontId="140" fillId="0" borderId="0">
      <alignment horizontal="left"/>
    </xf>
    <xf numFmtId="40" fontId="141" fillId="53" borderId="0">
      <alignment horizontal="right"/>
    </xf>
    <xf numFmtId="0" fontId="142" fillId="53" borderId="0">
      <alignment horizontal="right"/>
    </xf>
    <xf numFmtId="0" fontId="143" fillId="53" borderId="41"/>
    <xf numFmtId="0" fontId="143" fillId="0" borderId="0" applyBorder="0">
      <alignment horizontal="centerContinuous"/>
    </xf>
    <xf numFmtId="0" fontId="144" fillId="0" borderId="0" applyBorder="0">
      <alignment horizontal="centerContinuous"/>
    </xf>
    <xf numFmtId="0" fontId="14" fillId="0" borderId="0" applyNumberFormat="0" applyFont="0" applyFill="0" applyBorder="0" applyAlignment="0" applyProtection="0"/>
    <xf numFmtId="0" fontId="14" fillId="0" borderId="0" applyNumberFormat="0" applyFont="0" applyFill="0" applyBorder="0" applyAlignment="0" applyProtection="0"/>
    <xf numFmtId="10" fontId="73" fillId="0" borderId="0" applyFont="0" applyFill="0" applyBorder="0" applyAlignment="0" applyProtection="0"/>
    <xf numFmtId="9" fontId="69" fillId="0" borderId="0" applyFont="0" applyFill="0" applyBorder="0" applyAlignment="0" applyProtection="0"/>
    <xf numFmtId="187" fontId="145" fillId="0" borderId="0" applyNumberFormat="0" applyFill="0" applyBorder="0" applyProtection="0">
      <alignment horizontal="left"/>
    </xf>
    <xf numFmtId="187" fontId="145" fillId="0" borderId="0" applyNumberFormat="0" applyFill="0" applyBorder="0" applyAlignment="0" applyProtection="0"/>
    <xf numFmtId="187" fontId="145" fillId="0" borderId="0" applyNumberFormat="0" applyFill="0" applyBorder="0" applyAlignment="0" applyProtection="0"/>
    <xf numFmtId="187" fontId="145" fillId="0" borderId="0" applyNumberFormat="0" applyFill="0" applyBorder="0" applyAlignment="0" applyProtection="0"/>
    <xf numFmtId="187" fontId="145" fillId="0" borderId="0" applyNumberFormat="0" applyFill="0" applyBorder="0" applyProtection="0">
      <alignment horizontal="left"/>
    </xf>
    <xf numFmtId="187" fontId="145" fillId="0" borderId="0" applyNumberFormat="0" applyFill="0" applyBorder="0" applyAlignment="0" applyProtection="0"/>
    <xf numFmtId="2" fontId="146" fillId="53" borderId="0">
      <protection locked="0"/>
    </xf>
    <xf numFmtId="209" fontId="136" fillId="0" borderId="0"/>
    <xf numFmtId="9" fontId="14"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147" fillId="0" borderId="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91" fillId="0" borderId="0" applyFont="0" applyFill="0" applyBorder="0" applyAlignment="0" applyProtection="0"/>
    <xf numFmtId="9" fontId="8" fillId="0" borderId="0" applyFont="0" applyFill="0" applyBorder="0" applyAlignment="0" applyProtection="0"/>
    <xf numFmtId="9" fontId="91"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14"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14"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73"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 fontId="148" fillId="46" borderId="42" applyNumberFormat="0" applyProtection="0">
      <alignment vertical="center"/>
    </xf>
    <xf numFmtId="4" fontId="149" fillId="64" borderId="42" applyNumberFormat="0" applyProtection="0">
      <alignment vertical="center"/>
    </xf>
    <xf numFmtId="4" fontId="148" fillId="64" borderId="42" applyNumberFormat="0" applyProtection="0">
      <alignment horizontal="left" vertical="center" indent="1"/>
    </xf>
    <xf numFmtId="0" fontId="148" fillId="64" borderId="42" applyNumberFormat="0" applyProtection="0">
      <alignment horizontal="left" vertical="top" indent="1"/>
    </xf>
    <xf numFmtId="4" fontId="148" fillId="65" borderId="0" applyNumberFormat="0" applyProtection="0">
      <alignment horizontal="left" vertical="center" indent="1"/>
    </xf>
    <xf numFmtId="4" fontId="150" fillId="36" borderId="42" applyNumberFormat="0" applyProtection="0">
      <alignment horizontal="right" vertical="center"/>
    </xf>
    <xf numFmtId="4" fontId="150" fillId="45" borderId="42" applyNumberFormat="0" applyProtection="0">
      <alignment horizontal="right" vertical="center"/>
    </xf>
    <xf numFmtId="4" fontId="150" fillId="43" borderId="42" applyNumberFormat="0" applyProtection="0">
      <alignment horizontal="right" vertical="center"/>
    </xf>
    <xf numFmtId="4" fontId="150" fillId="48" borderId="42" applyNumberFormat="0" applyProtection="0">
      <alignment horizontal="right" vertical="center"/>
    </xf>
    <xf numFmtId="4" fontId="150" fillId="52" borderId="42" applyNumberFormat="0" applyProtection="0">
      <alignment horizontal="right" vertical="center"/>
    </xf>
    <xf numFmtId="4" fontId="150" fillId="57" borderId="42" applyNumberFormat="0" applyProtection="0">
      <alignment horizontal="right" vertical="center"/>
    </xf>
    <xf numFmtId="4" fontId="150" fillId="55" borderId="42" applyNumberFormat="0" applyProtection="0">
      <alignment horizontal="right" vertical="center"/>
    </xf>
    <xf numFmtId="4" fontId="150" fillId="66" borderId="42" applyNumberFormat="0" applyProtection="0">
      <alignment horizontal="right" vertical="center"/>
    </xf>
    <xf numFmtId="4" fontId="150" fillId="47" borderId="42" applyNumberFormat="0" applyProtection="0">
      <alignment horizontal="right" vertical="center"/>
    </xf>
    <xf numFmtId="4" fontId="148" fillId="67" borderId="43" applyNumberFormat="0" applyProtection="0">
      <alignment horizontal="left" vertical="center" indent="1"/>
    </xf>
    <xf numFmtId="4" fontId="150" fillId="68" borderId="0" applyNumberFormat="0" applyProtection="0">
      <alignment horizontal="left" vertical="center" indent="1"/>
    </xf>
    <xf numFmtId="4" fontId="151" fillId="69" borderId="0" applyNumberFormat="0" applyProtection="0">
      <alignment horizontal="left" vertical="center" indent="1"/>
    </xf>
    <xf numFmtId="4" fontId="150" fillId="70" borderId="42" applyNumberFormat="0" applyProtection="0">
      <alignment horizontal="right" vertical="center"/>
    </xf>
    <xf numFmtId="4" fontId="152" fillId="68" borderId="0" applyNumberFormat="0" applyProtection="0">
      <alignment horizontal="left" vertical="center" indent="1"/>
    </xf>
    <xf numFmtId="4" fontId="152" fillId="65" borderId="0" applyNumberFormat="0" applyProtection="0">
      <alignment horizontal="left" vertical="center" indent="1"/>
    </xf>
    <xf numFmtId="0" fontId="73" fillId="69" borderId="42" applyNumberFormat="0" applyProtection="0">
      <alignment horizontal="left" vertical="center" indent="1"/>
    </xf>
    <xf numFmtId="0" fontId="73" fillId="69" borderId="42" applyNumberFormat="0" applyProtection="0">
      <alignment horizontal="left" vertical="center" indent="1"/>
    </xf>
    <xf numFmtId="0" fontId="73" fillId="69" borderId="42" applyNumberFormat="0" applyProtection="0">
      <alignment horizontal="left" vertical="center" indent="1"/>
    </xf>
    <xf numFmtId="0" fontId="73" fillId="69" borderId="42" applyNumberFormat="0" applyProtection="0">
      <alignment horizontal="left" vertical="top" indent="1"/>
    </xf>
    <xf numFmtId="0" fontId="73" fillId="69" borderId="42" applyNumberFormat="0" applyProtection="0">
      <alignment horizontal="left" vertical="top" indent="1"/>
    </xf>
    <xf numFmtId="0" fontId="73" fillId="69" borderId="42" applyNumberFormat="0" applyProtection="0">
      <alignment horizontal="left" vertical="top" indent="1"/>
    </xf>
    <xf numFmtId="0" fontId="73" fillId="65" borderId="42" applyNumberFormat="0" applyProtection="0">
      <alignment horizontal="left" vertical="center" indent="1"/>
    </xf>
    <xf numFmtId="0" fontId="73" fillId="65" borderId="42" applyNumberFormat="0" applyProtection="0">
      <alignment horizontal="left" vertical="center" indent="1"/>
    </xf>
    <xf numFmtId="0" fontId="73" fillId="65" borderId="42" applyNumberFormat="0" applyProtection="0">
      <alignment horizontal="left" vertical="center" indent="1"/>
    </xf>
    <xf numFmtId="0" fontId="73" fillId="65" borderId="42" applyNumberFormat="0" applyProtection="0">
      <alignment horizontal="left" vertical="top" indent="1"/>
    </xf>
    <xf numFmtId="0" fontId="73" fillId="65" borderId="42" applyNumberFormat="0" applyProtection="0">
      <alignment horizontal="left" vertical="top" indent="1"/>
    </xf>
    <xf numFmtId="0" fontId="73" fillId="65" borderId="42" applyNumberFormat="0" applyProtection="0">
      <alignment horizontal="left" vertical="top" indent="1"/>
    </xf>
    <xf numFmtId="0" fontId="73" fillId="71" borderId="42" applyNumberFormat="0" applyProtection="0">
      <alignment horizontal="left" vertical="center" indent="1"/>
    </xf>
    <xf numFmtId="0" fontId="73" fillId="71" borderId="42" applyNumberFormat="0" applyProtection="0">
      <alignment horizontal="left" vertical="center" indent="1"/>
    </xf>
    <xf numFmtId="0" fontId="73" fillId="71" borderId="42" applyNumberFormat="0" applyProtection="0">
      <alignment horizontal="left" vertical="center" indent="1"/>
    </xf>
    <xf numFmtId="0" fontId="73" fillId="71" borderId="42" applyNumberFormat="0" applyProtection="0">
      <alignment horizontal="left" vertical="top" indent="1"/>
    </xf>
    <xf numFmtId="0" fontId="73" fillId="71" borderId="42" applyNumberFormat="0" applyProtection="0">
      <alignment horizontal="left" vertical="top" indent="1"/>
    </xf>
    <xf numFmtId="0" fontId="73" fillId="71" borderId="42" applyNumberFormat="0" applyProtection="0">
      <alignment horizontal="left" vertical="top" indent="1"/>
    </xf>
    <xf numFmtId="0" fontId="73" fillId="72" borderId="42" applyNumberFormat="0" applyProtection="0">
      <alignment horizontal="left" vertical="center" indent="1"/>
    </xf>
    <xf numFmtId="0" fontId="73" fillId="72" borderId="42" applyNumberFormat="0" applyProtection="0">
      <alignment horizontal="left" vertical="center" indent="1"/>
    </xf>
    <xf numFmtId="0" fontId="73" fillId="72" borderId="42" applyNumberFormat="0" applyProtection="0">
      <alignment horizontal="left" vertical="center" indent="1"/>
    </xf>
    <xf numFmtId="0" fontId="73" fillId="72" borderId="42" applyNumberFormat="0" applyProtection="0">
      <alignment horizontal="left" vertical="top" indent="1"/>
    </xf>
    <xf numFmtId="0" fontId="73" fillId="72" borderId="42" applyNumberFormat="0" applyProtection="0">
      <alignment horizontal="left" vertical="top" indent="1"/>
    </xf>
    <xf numFmtId="0" fontId="73" fillId="72" borderId="42" applyNumberFormat="0" applyProtection="0">
      <alignment horizontal="left" vertical="top" indent="1"/>
    </xf>
    <xf numFmtId="4" fontId="150" fillId="61" borderId="42" applyNumberFormat="0" applyProtection="0">
      <alignment vertical="center"/>
    </xf>
    <xf numFmtId="4" fontId="153" fillId="61" borderId="42" applyNumberFormat="0" applyProtection="0">
      <alignment vertical="center"/>
    </xf>
    <xf numFmtId="4" fontId="150" fillId="61" borderId="42" applyNumberFormat="0" applyProtection="0">
      <alignment horizontal="left" vertical="center" indent="1"/>
    </xf>
    <xf numFmtId="0" fontId="150" fillId="61" borderId="42" applyNumberFormat="0" applyProtection="0">
      <alignment horizontal="left" vertical="top" indent="1"/>
    </xf>
    <xf numFmtId="4" fontId="150" fillId="68" borderId="42" applyNumberFormat="0" applyProtection="0">
      <alignment horizontal="right" vertical="center"/>
    </xf>
    <xf numFmtId="4" fontId="150" fillId="73" borderId="30" applyNumberFormat="0" applyProtection="0">
      <alignment horizontal="right" vertical="center"/>
    </xf>
    <xf numFmtId="4" fontId="153" fillId="68" borderId="42" applyNumberFormat="0" applyProtection="0">
      <alignment horizontal="right" vertical="center"/>
    </xf>
    <xf numFmtId="4" fontId="150" fillId="70" borderId="42" applyNumberFormat="0" applyProtection="0">
      <alignment horizontal="left" vertical="center" indent="1"/>
    </xf>
    <xf numFmtId="0" fontId="150" fillId="65" borderId="42" applyNumberFormat="0" applyProtection="0">
      <alignment horizontal="left" vertical="top" indent="1"/>
    </xf>
    <xf numFmtId="4" fontId="154" fillId="74" borderId="0" applyNumberFormat="0" applyProtection="0">
      <alignment horizontal="left" vertical="center" indent="1"/>
    </xf>
    <xf numFmtId="4" fontId="155" fillId="68" borderId="42" applyNumberFormat="0" applyProtection="0">
      <alignment horizontal="right" vertical="center"/>
    </xf>
    <xf numFmtId="0" fontId="14" fillId="0" borderId="0" applyNumberFormat="0" applyFont="0" applyFill="0" applyBorder="0" applyAlignment="0" applyProtection="0"/>
    <xf numFmtId="0" fontId="156" fillId="0" borderId="0"/>
    <xf numFmtId="0" fontId="152" fillId="0" borderId="0">
      <alignment vertical="top"/>
    </xf>
    <xf numFmtId="0" fontId="157" fillId="0" borderId="44"/>
    <xf numFmtId="187" fontId="114" fillId="0" borderId="45"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5" fillId="0" borderId="28"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4" fillId="0" borderId="45"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4" fillId="0" borderId="45"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58" fillId="0" borderId="28" applyNumberFormat="0" applyFill="0" applyAlignment="0" applyProtection="0"/>
    <xf numFmtId="0" fontId="14" fillId="0" borderId="2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187" fontId="114" fillId="0" borderId="45"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4" fillId="0" borderId="45" applyNumberFormat="0" applyFill="0" applyAlignment="0" applyProtection="0"/>
    <xf numFmtId="0" fontId="114" fillId="0" borderId="45" applyNumberFormat="0" applyFill="0" applyAlignment="0" applyProtection="0"/>
    <xf numFmtId="0" fontId="158" fillId="0" borderId="28" applyNumberFormat="0" applyFill="0" applyAlignment="0" applyProtection="0"/>
    <xf numFmtId="0" fontId="14" fillId="0" borderId="0" applyNumberFormat="0" applyFont="0" applyFill="0" applyBorder="0" applyAlignment="0" applyProtection="0"/>
    <xf numFmtId="187" fontId="114" fillId="0" borderId="45"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4" fillId="0" borderId="45" applyNumberFormat="0" applyFill="0" applyAlignment="0" applyProtection="0"/>
    <xf numFmtId="0" fontId="114" fillId="0" borderId="45" applyNumberFormat="0" applyFill="0" applyAlignment="0" applyProtection="0"/>
    <xf numFmtId="0" fontId="158" fillId="0" borderId="28" applyNumberFormat="0" applyFill="0" applyAlignment="0" applyProtection="0"/>
    <xf numFmtId="0" fontId="14" fillId="0" borderId="0" applyNumberFormat="0" applyFont="0" applyFill="0" applyBorder="0" applyAlignment="0" applyProtection="0"/>
    <xf numFmtId="0" fontId="15" fillId="0" borderId="28" applyNumberFormat="0" applyFill="0" applyAlignment="0" applyProtection="0"/>
    <xf numFmtId="0" fontId="158" fillId="0" borderId="28" applyNumberFormat="0" applyFill="0" applyAlignment="0" applyProtection="0"/>
    <xf numFmtId="0" fontId="14" fillId="0" borderId="28" applyNumberFormat="0" applyFill="0" applyAlignment="0" applyProtection="0"/>
    <xf numFmtId="0" fontId="14" fillId="0" borderId="28" applyNumberFormat="0" applyFill="0" applyAlignment="0" applyProtection="0"/>
    <xf numFmtId="0" fontId="158" fillId="0" borderId="28" applyNumberFormat="0" applyFill="0" applyAlignment="0" applyProtection="0"/>
    <xf numFmtId="0" fontId="14" fillId="0" borderId="28" applyNumberFormat="0" applyFill="0" applyAlignment="0" applyProtection="0"/>
    <xf numFmtId="187"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6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87"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4" fillId="0" borderId="0" applyNumberFormat="0" applyFont="0" applyFill="0" applyBorder="0" applyAlignment="0" applyProtection="0"/>
    <xf numFmtId="187"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4" fillId="0" borderId="0" applyNumberFormat="0" applyFont="0" applyFill="0" applyBorder="0" applyAlignment="0" applyProtection="0"/>
    <xf numFmtId="0" fontId="64" fillId="0" borderId="0" applyNumberForma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187" fontId="16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187" fontId="162"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4" fillId="0" borderId="0" applyNumberFormat="0" applyFill="0" applyBorder="0" applyAlignment="0" applyProtection="0"/>
    <xf numFmtId="0" fontId="14" fillId="0" borderId="0" applyNumberFormat="0" applyFont="0" applyFill="0" applyBorder="0" applyAlignment="0" applyProtection="0"/>
    <xf numFmtId="187" fontId="16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4" fillId="0" borderId="0" applyNumberFormat="0" applyFill="0" applyBorder="0" applyAlignment="0" applyProtection="0"/>
    <xf numFmtId="0" fontId="14" fillId="0" borderId="0" applyNumberFormat="0" applyFont="0" applyFill="0" applyBorder="0" applyAlignment="0" applyProtection="0"/>
    <xf numFmtId="0" fontId="63"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187" fontId="16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7"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187" fontId="165"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4" fillId="0" borderId="0" applyNumberFormat="0" applyFont="0" applyFill="0" applyBorder="0" applyAlignment="0" applyProtection="0"/>
    <xf numFmtId="187" fontId="16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4"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3" fontId="169" fillId="0" borderId="0"/>
    <xf numFmtId="208" fontId="140" fillId="0" borderId="0">
      <alignment horizontal="left"/>
    </xf>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187" fontId="73" fillId="42" borderId="47"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27" applyNumberFormat="0" applyFont="0" applyFill="0" applyAlignment="0" applyProtection="0"/>
    <xf numFmtId="0" fontId="14" fillId="10" borderId="27" applyNumberFormat="0" applyFont="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27" applyNumberFormat="0" applyFont="0" applyFill="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73" fillId="42" borderId="47"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73" fillId="42" borderId="47"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187" fontId="73" fillId="42" borderId="4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73" fillId="42" borderId="47" applyNumberFormat="0" applyFont="0" applyAlignment="0" applyProtection="0"/>
    <xf numFmtId="0" fontId="8" fillId="10" borderId="27" applyNumberFormat="0" applyFont="0" applyAlignment="0" applyProtection="0"/>
    <xf numFmtId="0" fontId="73" fillId="42" borderId="4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187" fontId="73" fillId="42" borderId="47"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73" fillId="42" borderId="47" applyNumberFormat="0" applyFont="0" applyAlignment="0" applyProtection="0"/>
    <xf numFmtId="0" fontId="73" fillId="42" borderId="4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193" fontId="117" fillId="0" borderId="0"/>
    <xf numFmtId="210" fontId="78" fillId="0" borderId="0" applyFont="0" applyFill="0" applyBorder="0" applyAlignment="0" applyProtection="0"/>
    <xf numFmtId="189" fontId="77" fillId="0" borderId="0" applyFont="0" applyFill="0" applyBorder="0" applyAlignment="0" applyProtection="0"/>
    <xf numFmtId="211" fontId="73" fillId="0" borderId="0" applyFont="0" applyFill="0" applyBorder="0" applyAlignment="0" applyProtection="0"/>
    <xf numFmtId="212" fontId="73" fillId="0" borderId="0" applyFont="0" applyFill="0" applyBorder="0" applyAlignment="0" applyProtection="0"/>
    <xf numFmtId="44" fontId="14"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73"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7" fillId="0" borderId="0" applyFont="0" applyFill="0" applyBorder="0" applyAlignment="0" applyProtection="0"/>
    <xf numFmtId="44" fontId="73"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73"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73"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14" fillId="0" borderId="0" applyFont="0" applyFill="0" applyBorder="0" applyAlignment="0" applyProtection="0"/>
    <xf numFmtId="44" fontId="7" fillId="0" borderId="0" applyFont="0" applyFill="0" applyBorder="0" applyAlignment="0" applyProtection="0"/>
    <xf numFmtId="187"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56" fillId="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71" fillId="5" borderId="0" applyNumberFormat="0" applyBorder="0" applyAlignment="0" applyProtection="0"/>
    <xf numFmtId="0" fontId="171"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187"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71" fillId="5" borderId="0" applyNumberFormat="0" applyBorder="0" applyAlignment="0" applyProtection="0"/>
    <xf numFmtId="0" fontId="171"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187"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71" fillId="5" borderId="0" applyNumberFormat="0" applyBorder="0" applyAlignment="0" applyProtection="0"/>
    <xf numFmtId="0" fontId="14" fillId="0" borderId="0" applyNumberFormat="0" applyFont="0" applyFill="0" applyBorder="0" applyAlignment="0" applyProtection="0"/>
    <xf numFmtId="0" fontId="56" fillId="5" borderId="0" applyNumberFormat="0" applyBorder="0" applyAlignment="0" applyProtection="0"/>
    <xf numFmtId="0" fontId="171" fillId="5" borderId="0" applyNumberFormat="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5" borderId="0" applyNumberFormat="0" applyBorder="0" applyAlignment="0" applyProtection="0"/>
    <xf numFmtId="0" fontId="171" fillId="0" borderId="0" applyNumberFormat="0" applyFill="0" applyBorder="0" applyAlignment="0" applyProtection="0"/>
    <xf numFmtId="0" fontId="7" fillId="0" borderId="0"/>
    <xf numFmtId="164"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66" fillId="0" borderId="0" applyFont="0" applyFill="0" applyBorder="0" applyAlignment="0" applyProtection="0"/>
    <xf numFmtId="0" fontId="5" fillId="0" borderId="0"/>
    <xf numFmtId="9" fontId="5" fillId="0" borderId="0" applyFont="0" applyFill="0" applyBorder="0" applyAlignment="0" applyProtection="0"/>
    <xf numFmtId="0" fontId="133" fillId="0" borderId="0"/>
    <xf numFmtId="0" fontId="5" fillId="0" borderId="0"/>
    <xf numFmtId="43" fontId="14" fillId="0" borderId="0" applyFont="0" applyFill="0" applyBorder="0" applyAlignment="0" applyProtection="0"/>
    <xf numFmtId="9" fontId="133" fillId="0" borderId="0" applyFont="0" applyFill="0" applyBorder="0" applyAlignment="0" applyProtection="0"/>
    <xf numFmtId="0" fontId="147" fillId="0" borderId="0"/>
    <xf numFmtId="0" fontId="14" fillId="0" borderId="0"/>
  </cellStyleXfs>
  <cellXfs count="998">
    <xf numFmtId="0" fontId="0" fillId="0" borderId="0" xfId="0"/>
    <xf numFmtId="0" fontId="9" fillId="0" borderId="0" xfId="0" applyFont="1" applyAlignment="1">
      <alignment vertical="center"/>
    </xf>
    <xf numFmtId="0" fontId="16" fillId="2" borderId="0" xfId="0" applyFont="1" applyFill="1" applyAlignment="1">
      <alignment vertical="center"/>
    </xf>
    <xf numFmtId="0" fontId="21" fillId="2" borderId="0" xfId="0" applyFont="1" applyFill="1" applyAlignment="1">
      <alignment vertical="center"/>
    </xf>
    <xf numFmtId="0" fontId="12" fillId="0" borderId="0" xfId="0" applyFont="1" applyAlignment="1">
      <alignment vertical="center"/>
    </xf>
    <xf numFmtId="0" fontId="12" fillId="0" borderId="0" xfId="0" applyFont="1"/>
    <xf numFmtId="0" fontId="12" fillId="2" borderId="0" xfId="0" applyFont="1" applyFill="1" applyAlignment="1">
      <alignment vertical="center"/>
    </xf>
    <xf numFmtId="0" fontId="12" fillId="2" borderId="0" xfId="0" applyFont="1" applyFill="1"/>
    <xf numFmtId="0" fontId="23" fillId="2" borderId="0" xfId="0" applyFont="1" applyFill="1"/>
    <xf numFmtId="0" fontId="28" fillId="2" borderId="0" xfId="0" applyFont="1" applyFill="1" applyAlignment="1">
      <alignment vertical="center"/>
    </xf>
    <xf numFmtId="0" fontId="28" fillId="0" borderId="0" xfId="0" applyFont="1" applyAlignment="1">
      <alignment vertical="center"/>
    </xf>
    <xf numFmtId="0" fontId="15" fillId="2" borderId="0" xfId="0" applyFont="1" applyFill="1" applyAlignment="1">
      <alignment vertical="center"/>
    </xf>
    <xf numFmtId="0" fontId="30" fillId="2" borderId="0" xfId="0" applyFont="1" applyFill="1"/>
    <xf numFmtId="0" fontId="28" fillId="2" borderId="0" xfId="0" applyFont="1" applyFill="1"/>
    <xf numFmtId="0" fontId="28" fillId="0" borderId="0" xfId="0" applyFont="1"/>
    <xf numFmtId="0" fontId="33" fillId="2" borderId="0" xfId="0" applyFont="1" applyFill="1"/>
    <xf numFmtId="170" fontId="12" fillId="2" borderId="0" xfId="0" applyNumberFormat="1" applyFont="1" applyFill="1" applyAlignment="1">
      <alignment vertical="center"/>
    </xf>
    <xf numFmtId="173" fontId="12" fillId="2" borderId="0" xfId="0" applyNumberFormat="1" applyFont="1" applyFill="1" applyAlignment="1">
      <alignment vertical="center"/>
    </xf>
    <xf numFmtId="174" fontId="31" fillId="2" borderId="0" xfId="1" applyNumberFormat="1" applyFont="1" applyFill="1" applyBorder="1" applyAlignment="1">
      <alignment horizontal="right" vertical="center"/>
    </xf>
    <xf numFmtId="174" fontId="12" fillId="2" borderId="0" xfId="0" applyNumberFormat="1" applyFont="1" applyFill="1" applyAlignment="1">
      <alignment vertical="center"/>
    </xf>
    <xf numFmtId="173" fontId="31" fillId="2" borderId="0" xfId="1" applyNumberFormat="1" applyFont="1" applyFill="1" applyBorder="1" applyAlignment="1">
      <alignment horizontal="right" vertical="center"/>
    </xf>
    <xf numFmtId="172" fontId="12" fillId="2" borderId="0" xfId="0" applyNumberFormat="1" applyFont="1" applyFill="1" applyAlignment="1">
      <alignment vertical="center"/>
    </xf>
    <xf numFmtId="173" fontId="33" fillId="2" borderId="0" xfId="0" applyNumberFormat="1" applyFont="1" applyFill="1" applyAlignment="1">
      <alignment vertical="center"/>
    </xf>
    <xf numFmtId="174" fontId="33" fillId="2" borderId="0" xfId="0" applyNumberFormat="1" applyFont="1" applyFill="1" applyAlignment="1">
      <alignment vertical="center"/>
    </xf>
    <xf numFmtId="165" fontId="31" fillId="2" borderId="0" xfId="0" applyNumberFormat="1" applyFont="1" applyFill="1" applyAlignment="1">
      <alignment horizontal="right" vertical="center"/>
    </xf>
    <xf numFmtId="170" fontId="33" fillId="2" borderId="0" xfId="0" applyNumberFormat="1" applyFont="1" applyFill="1" applyAlignment="1">
      <alignment vertical="center"/>
    </xf>
    <xf numFmtId="170" fontId="31" fillId="2" borderId="0" xfId="0" applyNumberFormat="1" applyFont="1" applyFill="1" applyAlignment="1">
      <alignment horizontal="right" vertical="center"/>
    </xf>
    <xf numFmtId="0" fontId="12" fillId="2" borderId="3" xfId="0" applyFont="1" applyFill="1" applyBorder="1" applyAlignment="1">
      <alignment horizontal="left" vertical="center"/>
    </xf>
    <xf numFmtId="0" fontId="12" fillId="2" borderId="0" xfId="0" applyFont="1" applyFill="1" applyAlignment="1">
      <alignment horizontal="left" vertical="center"/>
    </xf>
    <xf numFmtId="0" fontId="32" fillId="2" borderId="3" xfId="0" applyFont="1" applyFill="1" applyBorder="1" applyAlignment="1">
      <alignment horizontal="left" vertical="center" indent="2"/>
    </xf>
    <xf numFmtId="173" fontId="12" fillId="2" borderId="0" xfId="0" applyNumberFormat="1" applyFont="1" applyFill="1" applyAlignment="1">
      <alignment horizontal="right" vertical="center"/>
    </xf>
    <xf numFmtId="174" fontId="31" fillId="2" borderId="3" xfId="1" applyNumberFormat="1" applyFont="1" applyFill="1" applyBorder="1" applyAlignment="1">
      <alignment horizontal="right" vertical="center"/>
    </xf>
    <xf numFmtId="174" fontId="33" fillId="2" borderId="3" xfId="0" applyNumberFormat="1" applyFont="1" applyFill="1" applyBorder="1" applyAlignment="1">
      <alignment vertical="center"/>
    </xf>
    <xf numFmtId="0" fontId="9" fillId="2" borderId="0" xfId="0" applyFont="1" applyFill="1" applyAlignment="1">
      <alignment vertical="center"/>
    </xf>
    <xf numFmtId="181" fontId="31" fillId="2" borderId="0" xfId="1" applyNumberFormat="1" applyFont="1" applyFill="1" applyBorder="1" applyAlignment="1">
      <alignment horizontal="right" vertical="center"/>
    </xf>
    <xf numFmtId="0" fontId="43" fillId="2" borderId="0" xfId="0" applyFont="1" applyFill="1"/>
    <xf numFmtId="177" fontId="43" fillId="2" borderId="0" xfId="0" applyNumberFormat="1" applyFont="1" applyFill="1" applyAlignment="1">
      <alignment horizontal="right" vertical="center"/>
    </xf>
    <xf numFmtId="179" fontId="26" fillId="2" borderId="0" xfId="0" applyNumberFormat="1" applyFont="1" applyFill="1" applyAlignment="1">
      <alignment vertical="center"/>
    </xf>
    <xf numFmtId="0" fontId="43" fillId="2" borderId="0" xfId="0" applyFont="1" applyFill="1" applyAlignment="1">
      <alignment vertical="center"/>
    </xf>
    <xf numFmtId="0" fontId="43" fillId="0" borderId="0" xfId="0" applyFont="1" applyAlignment="1">
      <alignment vertical="center"/>
    </xf>
    <xf numFmtId="173" fontId="12" fillId="2" borderId="3" xfId="0" applyNumberFormat="1" applyFont="1" applyFill="1" applyBorder="1" applyAlignment="1">
      <alignment horizontal="right" vertical="center"/>
    </xf>
    <xf numFmtId="167" fontId="12" fillId="2" borderId="0" xfId="0" applyNumberFormat="1" applyFont="1" applyFill="1" applyAlignment="1">
      <alignment horizontal="right" vertical="center"/>
    </xf>
    <xf numFmtId="167" fontId="12" fillId="2" borderId="3" xfId="0" applyNumberFormat="1" applyFont="1" applyFill="1" applyBorder="1" applyAlignment="1">
      <alignment horizontal="right" vertical="center"/>
    </xf>
    <xf numFmtId="184" fontId="12" fillId="2" borderId="0" xfId="0" applyNumberFormat="1" applyFont="1" applyFill="1" applyAlignment="1">
      <alignment horizontal="right" vertical="center"/>
    </xf>
    <xf numFmtId="167" fontId="12" fillId="2" borderId="0" xfId="0" applyNumberFormat="1" applyFont="1" applyFill="1" applyAlignment="1">
      <alignment vertical="center"/>
    </xf>
    <xf numFmtId="182" fontId="12" fillId="2" borderId="0" xfId="0" applyNumberFormat="1" applyFont="1" applyFill="1" applyAlignment="1">
      <alignment horizontal="right" vertical="center"/>
    </xf>
    <xf numFmtId="182" fontId="43" fillId="2" borderId="0" xfId="0" applyNumberFormat="1" applyFont="1" applyFill="1" applyAlignment="1">
      <alignment horizontal="right" vertical="center"/>
    </xf>
    <xf numFmtId="0" fontId="12" fillId="2" borderId="0" xfId="0" applyFont="1" applyFill="1" applyAlignment="1">
      <alignment horizontal="right" vertical="center"/>
    </xf>
    <xf numFmtId="0" fontId="45" fillId="2" borderId="0" xfId="0" applyFont="1" applyFill="1"/>
    <xf numFmtId="171" fontId="12" fillId="0" borderId="0" xfId="0" applyNumberFormat="1" applyFont="1" applyAlignment="1">
      <alignment horizontal="right" vertical="center"/>
    </xf>
    <xf numFmtId="176" fontId="48" fillId="0" borderId="0" xfId="0" applyNumberFormat="1" applyFont="1" applyAlignment="1">
      <alignment horizontal="right" vertical="center"/>
    </xf>
    <xf numFmtId="0" fontId="23" fillId="0" borderId="0" xfId="0" applyFont="1"/>
    <xf numFmtId="177" fontId="12" fillId="0" borderId="0" xfId="0" applyNumberFormat="1" applyFont="1" applyAlignment="1">
      <alignment horizontal="right" vertical="center"/>
    </xf>
    <xf numFmtId="177" fontId="12" fillId="2" borderId="0" xfId="0" applyNumberFormat="1" applyFont="1" applyFill="1" applyAlignment="1">
      <alignment horizontal="right" vertical="center"/>
    </xf>
    <xf numFmtId="176" fontId="31" fillId="0" borderId="0" xfId="0" applyNumberFormat="1" applyFont="1" applyAlignment="1">
      <alignment horizontal="right" vertical="center"/>
    </xf>
    <xf numFmtId="179" fontId="23" fillId="0" borderId="0" xfId="0" applyNumberFormat="1" applyFont="1" applyAlignment="1">
      <alignment horizontal="right" vertical="center"/>
    </xf>
    <xf numFmtId="179" fontId="34" fillId="0" borderId="0" xfId="0" applyNumberFormat="1" applyFont="1" applyAlignment="1">
      <alignment horizontal="right" vertical="center"/>
    </xf>
    <xf numFmtId="179" fontId="23" fillId="2" borderId="0" xfId="0" applyNumberFormat="1" applyFont="1" applyFill="1" applyAlignment="1">
      <alignment horizontal="right" vertical="center"/>
    </xf>
    <xf numFmtId="0" fontId="12" fillId="0" borderId="0" xfId="0" applyFont="1" applyAlignment="1">
      <alignment horizontal="right" vertical="center"/>
    </xf>
    <xf numFmtId="0" fontId="15" fillId="0" borderId="0" xfId="0" applyFont="1" applyAlignment="1">
      <alignment vertical="center"/>
    </xf>
    <xf numFmtId="174" fontId="33" fillId="0" borderId="0" xfId="0" applyNumberFormat="1" applyFont="1" applyAlignment="1">
      <alignment vertical="center"/>
    </xf>
    <xf numFmtId="182" fontId="12" fillId="0" borderId="9" xfId="0" applyNumberFormat="1" applyFont="1" applyBorder="1" applyAlignment="1">
      <alignment vertical="center"/>
    </xf>
    <xf numFmtId="182" fontId="12" fillId="0" borderId="0" xfId="0" applyNumberFormat="1" applyFont="1" applyAlignment="1">
      <alignment vertical="center"/>
    </xf>
    <xf numFmtId="183" fontId="12" fillId="0" borderId="0" xfId="0" applyNumberFormat="1" applyFont="1" applyAlignment="1">
      <alignment vertical="center"/>
    </xf>
    <xf numFmtId="0" fontId="12" fillId="0" borderId="3" xfId="0" applyFont="1" applyBorder="1" applyAlignment="1">
      <alignment vertical="center" wrapText="1"/>
    </xf>
    <xf numFmtId="182" fontId="23" fillId="2" borderId="0" xfId="0" applyNumberFormat="1" applyFont="1" applyFill="1" applyAlignment="1">
      <alignment vertical="center"/>
    </xf>
    <xf numFmtId="182" fontId="43" fillId="0" borderId="0" xfId="0" applyNumberFormat="1" applyFont="1" applyAlignment="1">
      <alignment horizontal="right" vertical="center"/>
    </xf>
    <xf numFmtId="0" fontId="48" fillId="0" borderId="0" xfId="0" applyFont="1" applyAlignment="1">
      <alignment vertical="center" wrapText="1"/>
    </xf>
    <xf numFmtId="169" fontId="12" fillId="2" borderId="0" xfId="7" applyNumberFormat="1" applyFont="1" applyFill="1" applyAlignment="1">
      <alignment vertical="center"/>
    </xf>
    <xf numFmtId="3" fontId="37" fillId="0" borderId="0" xfId="0" applyNumberFormat="1" applyFont="1" applyAlignment="1">
      <alignment horizontal="right" vertical="center" wrapText="1"/>
    </xf>
    <xf numFmtId="3" fontId="20" fillId="0" borderId="0" xfId="0" applyNumberFormat="1" applyFont="1" applyAlignment="1">
      <alignment horizontal="right" vertical="center" wrapText="1"/>
    </xf>
    <xf numFmtId="3" fontId="20" fillId="0" borderId="19" xfId="0" applyNumberFormat="1" applyFont="1" applyBorder="1" applyAlignment="1">
      <alignment horizontal="right" vertical="center" wrapText="1"/>
    </xf>
    <xf numFmtId="169" fontId="20" fillId="0" borderId="0" xfId="0" applyNumberFormat="1" applyFont="1" applyAlignment="1">
      <alignment horizontal="right" vertical="center" wrapText="1"/>
    </xf>
    <xf numFmtId="3" fontId="40" fillId="0" borderId="0" xfId="6" applyNumberFormat="1" applyFont="1" applyFill="1" applyBorder="1" applyAlignment="1">
      <alignment horizontal="right" vertical="center" wrapText="1"/>
    </xf>
    <xf numFmtId="3" fontId="20" fillId="0" borderId="0" xfId="6" applyNumberFormat="1" applyFont="1" applyFill="1" applyBorder="1" applyAlignment="1">
      <alignment horizontal="right" vertical="center" wrapText="1"/>
    </xf>
    <xf numFmtId="185" fontId="43" fillId="2" borderId="0" xfId="0" applyNumberFormat="1" applyFont="1" applyFill="1" applyAlignment="1">
      <alignment horizontal="right" vertical="center"/>
    </xf>
    <xf numFmtId="181" fontId="31" fillId="2" borderId="0" xfId="8" applyNumberFormat="1" applyFont="1" applyFill="1" applyBorder="1" applyAlignment="1">
      <alignment horizontal="right" vertical="center"/>
    </xf>
    <xf numFmtId="181" fontId="12" fillId="2" borderId="0" xfId="0" applyNumberFormat="1" applyFont="1" applyFill="1" applyAlignment="1">
      <alignment vertical="center"/>
    </xf>
    <xf numFmtId="181" fontId="33" fillId="2" borderId="0" xfId="0" applyNumberFormat="1" applyFont="1" applyFill="1" applyAlignment="1">
      <alignment vertical="center"/>
    </xf>
    <xf numFmtId="3" fontId="40" fillId="0" borderId="0" xfId="0" applyNumberFormat="1" applyFont="1" applyAlignment="1">
      <alignment horizontal="right" vertical="center" wrapText="1"/>
    </xf>
    <xf numFmtId="167" fontId="20" fillId="0" borderId="0" xfId="0" applyNumberFormat="1" applyFont="1" applyAlignment="1">
      <alignment horizontal="right" vertical="center" wrapText="1"/>
    </xf>
    <xf numFmtId="182" fontId="12" fillId="2" borderId="0" xfId="0" applyNumberFormat="1" applyFont="1" applyFill="1" applyAlignment="1">
      <alignment vertical="center"/>
    </xf>
    <xf numFmtId="182" fontId="25" fillId="2" borderId="0" xfId="0" applyNumberFormat="1" applyFont="1" applyFill="1" applyAlignment="1">
      <alignment horizontal="right" vertical="center"/>
    </xf>
    <xf numFmtId="182" fontId="25" fillId="0" borderId="0" xfId="0" applyNumberFormat="1" applyFont="1" applyAlignment="1">
      <alignment horizontal="right" vertical="center"/>
    </xf>
    <xf numFmtId="182" fontId="23" fillId="0" borderId="0" xfId="0" applyNumberFormat="1" applyFont="1" applyAlignment="1">
      <alignment vertical="center"/>
    </xf>
    <xf numFmtId="3" fontId="49" fillId="2" borderId="0" xfId="0" applyNumberFormat="1" applyFont="1" applyFill="1" applyAlignment="1">
      <alignment horizontal="right" vertical="center" wrapText="1"/>
    </xf>
    <xf numFmtId="177" fontId="50" fillId="2" borderId="0" xfId="0" applyNumberFormat="1" applyFont="1" applyFill="1" applyAlignment="1">
      <alignment horizontal="right" vertical="center"/>
    </xf>
    <xf numFmtId="186" fontId="26" fillId="2" borderId="0" xfId="0" applyNumberFormat="1" applyFont="1" applyFill="1" applyAlignment="1">
      <alignment horizontal="right" vertical="center"/>
    </xf>
    <xf numFmtId="0" fontId="51" fillId="2" borderId="0" xfId="0" applyFont="1" applyFill="1"/>
    <xf numFmtId="0" fontId="31" fillId="2" borderId="0" xfId="0" applyFont="1" applyFill="1" applyAlignment="1">
      <alignment vertical="center"/>
    </xf>
    <xf numFmtId="0" fontId="31" fillId="2" borderId="0" xfId="0" applyFont="1" applyFill="1"/>
    <xf numFmtId="0" fontId="31" fillId="0" borderId="0" xfId="0" applyFont="1" applyAlignment="1">
      <alignment vertical="center"/>
    </xf>
    <xf numFmtId="177" fontId="31" fillId="0" borderId="0" xfId="0" applyNumberFormat="1" applyFont="1" applyAlignment="1">
      <alignment horizontal="right" vertical="center"/>
    </xf>
    <xf numFmtId="177" fontId="31" fillId="2" borderId="0" xfId="0" applyNumberFormat="1" applyFont="1" applyFill="1" applyAlignment="1">
      <alignment horizontal="right" vertical="center"/>
    </xf>
    <xf numFmtId="0" fontId="31" fillId="0" borderId="0" xfId="0" applyFont="1"/>
    <xf numFmtId="0" fontId="31" fillId="2" borderId="3" xfId="0" applyFont="1" applyFill="1" applyBorder="1" applyAlignment="1">
      <alignment horizontal="left" vertical="center"/>
    </xf>
    <xf numFmtId="0" fontId="30" fillId="2" borderId="0" xfId="0" applyFont="1" applyFill="1" applyAlignment="1">
      <alignment horizontal="left" vertical="top" wrapText="1"/>
    </xf>
    <xf numFmtId="0" fontId="12" fillId="2" borderId="0" xfId="0" applyFont="1" applyFill="1" applyAlignment="1">
      <alignment vertical="center" wrapText="1"/>
    </xf>
    <xf numFmtId="185" fontId="12" fillId="0" borderId="0" xfId="0" applyNumberFormat="1" applyFont="1" applyAlignment="1">
      <alignment vertical="center"/>
    </xf>
    <xf numFmtId="185" fontId="12" fillId="0" borderId="0" xfId="0" applyNumberFormat="1" applyFont="1" applyAlignment="1">
      <alignment horizontal="right" vertical="center"/>
    </xf>
    <xf numFmtId="185" fontId="12" fillId="2" borderId="0" xfId="0" applyNumberFormat="1" applyFont="1" applyFill="1" applyAlignment="1">
      <alignment vertical="center"/>
    </xf>
    <xf numFmtId="185" fontId="12" fillId="2" borderId="0" xfId="0" applyNumberFormat="1" applyFont="1" applyFill="1" applyAlignment="1">
      <alignment horizontal="left" vertical="center" wrapText="1"/>
    </xf>
    <xf numFmtId="185" fontId="12" fillId="0" borderId="0" xfId="0" applyNumberFormat="1" applyFont="1" applyAlignment="1">
      <alignment horizontal="left" vertical="center" wrapText="1"/>
    </xf>
    <xf numFmtId="0" fontId="30" fillId="2" borderId="0" xfId="0" applyFont="1" applyFill="1" applyAlignment="1">
      <alignment vertical="top" wrapText="1"/>
    </xf>
    <xf numFmtId="0" fontId="43" fillId="2" borderId="0" xfId="0" applyFont="1" applyFill="1" applyAlignment="1">
      <alignment horizontal="left" vertical="center"/>
    </xf>
    <xf numFmtId="0" fontId="27" fillId="2" borderId="16" xfId="0" applyFont="1" applyFill="1" applyBorder="1" applyAlignment="1">
      <alignment vertical="center"/>
    </xf>
    <xf numFmtId="0" fontId="43" fillId="2" borderId="16" xfId="0" applyFont="1" applyFill="1" applyBorder="1" applyAlignment="1">
      <alignment horizontal="left" vertical="center"/>
    </xf>
    <xf numFmtId="0" fontId="50" fillId="2" borderId="16" xfId="0" applyFont="1" applyFill="1" applyBorder="1" applyAlignment="1">
      <alignment vertical="center"/>
    </xf>
    <xf numFmtId="0" fontId="27" fillId="0" borderId="16" xfId="0" applyFont="1" applyBorder="1" applyAlignment="1">
      <alignment vertical="center"/>
    </xf>
    <xf numFmtId="0" fontId="32" fillId="2" borderId="16" xfId="0" applyFont="1" applyFill="1" applyBorder="1" applyAlignment="1">
      <alignment horizontal="left" vertical="center" indent="3"/>
    </xf>
    <xf numFmtId="169" fontId="47" fillId="0" borderId="0" xfId="2" applyNumberFormat="1" applyFont="1" applyFill="1" applyBorder="1" applyAlignment="1">
      <alignment vertical="center" wrapText="1"/>
    </xf>
    <xf numFmtId="169" fontId="24" fillId="0" borderId="0" xfId="2" applyNumberFormat="1" applyFont="1" applyFill="1" applyBorder="1" applyAlignment="1">
      <alignment vertical="center" wrapText="1"/>
    </xf>
    <xf numFmtId="0" fontId="12" fillId="0" borderId="0" xfId="0" applyFont="1" applyAlignment="1">
      <alignment vertical="center" wrapText="1"/>
    </xf>
    <xf numFmtId="0" fontId="0" fillId="2" borderId="0" xfId="0" applyFill="1"/>
    <xf numFmtId="10" fontId="180" fillId="0" borderId="0" xfId="0" applyNumberFormat="1" applyFont="1" applyAlignment="1">
      <alignment horizontal="right" vertical="center" wrapText="1"/>
    </xf>
    <xf numFmtId="0" fontId="181" fillId="0" borderId="0" xfId="0" applyFont="1"/>
    <xf numFmtId="0" fontId="182" fillId="2" borderId="16" xfId="0" applyFont="1" applyFill="1" applyBorder="1" applyAlignment="1">
      <alignment vertical="center" wrapText="1"/>
    </xf>
    <xf numFmtId="3" fontId="173" fillId="0" borderId="0" xfId="0" applyNumberFormat="1" applyFont="1" applyAlignment="1">
      <alignment horizontal="right" vertical="center" wrapText="1"/>
    </xf>
    <xf numFmtId="10" fontId="49" fillId="0" borderId="0" xfId="7" applyNumberFormat="1" applyFont="1" applyFill="1" applyBorder="1" applyAlignment="1">
      <alignment horizontal="right" vertical="center" wrapText="1"/>
    </xf>
    <xf numFmtId="10" fontId="49" fillId="2" borderId="0" xfId="7" applyNumberFormat="1" applyFont="1" applyFill="1" applyBorder="1" applyAlignment="1">
      <alignment horizontal="right" vertical="center" wrapText="1"/>
    </xf>
    <xf numFmtId="3" fontId="49" fillId="2" borderId="31" xfId="7" applyNumberFormat="1" applyFont="1" applyFill="1" applyBorder="1" applyAlignment="1">
      <alignment horizontal="right" vertical="center" wrapText="1"/>
    </xf>
    <xf numFmtId="3" fontId="49" fillId="0" borderId="31" xfId="7" applyNumberFormat="1" applyFont="1" applyFill="1" applyBorder="1" applyAlignment="1">
      <alignment horizontal="right" vertical="center" wrapText="1"/>
    </xf>
    <xf numFmtId="3" fontId="49" fillId="0" borderId="31" xfId="0" applyNumberFormat="1" applyFont="1" applyBorder="1" applyAlignment="1">
      <alignment horizontal="right" vertical="center" wrapText="1"/>
    </xf>
    <xf numFmtId="3" fontId="49" fillId="0" borderId="0" xfId="0" applyNumberFormat="1" applyFont="1" applyAlignment="1">
      <alignment horizontal="right" vertical="center" wrapText="1"/>
    </xf>
    <xf numFmtId="3" fontId="180" fillId="0" borderId="0" xfId="0" applyNumberFormat="1" applyFont="1" applyAlignment="1">
      <alignment vertical="center" wrapText="1"/>
    </xf>
    <xf numFmtId="3" fontId="0" fillId="0" borderId="0" xfId="0" applyNumberFormat="1"/>
    <xf numFmtId="0" fontId="30" fillId="0" borderId="0" xfId="0" applyFont="1" applyAlignment="1">
      <alignment horizontal="left" vertical="top" wrapText="1"/>
    </xf>
    <xf numFmtId="0" fontId="30" fillId="2" borderId="0" xfId="0" applyFont="1" applyFill="1" applyAlignment="1">
      <alignment horizontal="left" vertical="top"/>
    </xf>
    <xf numFmtId="0" fontId="0" fillId="2" borderId="0" xfId="0" applyFill="1" applyAlignment="1">
      <alignment wrapText="1"/>
    </xf>
    <xf numFmtId="0" fontId="184" fillId="2" borderId="0" xfId="0" applyFont="1" applyFill="1" applyAlignment="1">
      <alignment vertical="center"/>
    </xf>
    <xf numFmtId="0" fontId="15" fillId="0" borderId="15" xfId="0" applyFont="1" applyBorder="1" applyAlignment="1">
      <alignment vertical="center"/>
    </xf>
    <xf numFmtId="3" fontId="180" fillId="2" borderId="0" xfId="0" applyNumberFormat="1" applyFont="1" applyFill="1" applyAlignment="1">
      <alignment horizontal="right" vertical="center" wrapText="1"/>
    </xf>
    <xf numFmtId="3" fontId="180" fillId="0" borderId="0" xfId="0" applyNumberFormat="1" applyFont="1" applyAlignment="1">
      <alignment horizontal="right" vertical="center" wrapText="1"/>
    </xf>
    <xf numFmtId="170" fontId="186" fillId="2" borderId="0" xfId="0" applyNumberFormat="1" applyFont="1" applyFill="1" applyAlignment="1">
      <alignment horizontal="right" vertical="center" wrapText="1"/>
    </xf>
    <xf numFmtId="170" fontId="180" fillId="2" borderId="0" xfId="0" applyNumberFormat="1" applyFont="1" applyFill="1" applyAlignment="1">
      <alignment horizontal="right" vertical="center" wrapText="1"/>
    </xf>
    <xf numFmtId="0" fontId="158" fillId="2" borderId="0" xfId="0" applyFont="1" applyFill="1" applyAlignment="1">
      <alignment vertical="center"/>
    </xf>
    <xf numFmtId="170" fontId="49" fillId="2" borderId="0" xfId="0" applyNumberFormat="1" applyFont="1" applyFill="1" applyAlignment="1">
      <alignment horizontal="right" vertical="center" wrapText="1"/>
    </xf>
    <xf numFmtId="0" fontId="0" fillId="2" borderId="0" xfId="0" applyFill="1" applyAlignment="1">
      <alignment vertical="center"/>
    </xf>
    <xf numFmtId="0" fontId="180" fillId="2" borderId="0" xfId="0" applyFont="1" applyFill="1" applyAlignment="1">
      <alignment vertical="center"/>
    </xf>
    <xf numFmtId="3" fontId="186" fillId="2" borderId="0" xfId="0" applyNumberFormat="1" applyFont="1" applyFill="1" applyAlignment="1">
      <alignment horizontal="right" vertical="center" wrapText="1"/>
    </xf>
    <xf numFmtId="0" fontId="158" fillId="2" borderId="0" xfId="0" applyFont="1" applyFill="1"/>
    <xf numFmtId="170" fontId="180" fillId="0" borderId="0" xfId="0" applyNumberFormat="1" applyFont="1" applyAlignment="1">
      <alignment horizontal="right" vertical="center" wrapText="1"/>
    </xf>
    <xf numFmtId="170" fontId="49" fillId="0" borderId="0" xfId="0" applyNumberFormat="1" applyFont="1" applyAlignment="1">
      <alignment horizontal="right" vertical="center" wrapText="1"/>
    </xf>
    <xf numFmtId="0" fontId="6" fillId="2" borderId="0" xfId="0" applyFont="1" applyFill="1"/>
    <xf numFmtId="0" fontId="6" fillId="0" borderId="0" xfId="0" applyFont="1"/>
    <xf numFmtId="0" fontId="6" fillId="2" borderId="0" xfId="0" applyFont="1" applyFill="1" applyAlignment="1">
      <alignment vertical="center"/>
    </xf>
    <xf numFmtId="169" fontId="63" fillId="0" borderId="0" xfId="0" applyNumberFormat="1" applyFont="1"/>
    <xf numFmtId="0" fontId="49" fillId="0" borderId="0" xfId="0" applyFont="1" applyAlignment="1">
      <alignment wrapText="1"/>
    </xf>
    <xf numFmtId="0" fontId="62" fillId="0" borderId="0" xfId="0" applyFont="1" applyAlignment="1">
      <alignment vertical="center"/>
    </xf>
    <xf numFmtId="0" fontId="62" fillId="0" borderId="0" xfId="0" applyFont="1"/>
    <xf numFmtId="170" fontId="49" fillId="0" borderId="0" xfId="0" applyNumberFormat="1" applyFont="1"/>
    <xf numFmtId="170" fontId="62" fillId="0" borderId="0" xfId="0" applyNumberFormat="1" applyFont="1"/>
    <xf numFmtId="170" fontId="65" fillId="0" borderId="0" xfId="0" applyNumberFormat="1" applyFont="1"/>
    <xf numFmtId="0" fontId="20" fillId="2" borderId="0" xfId="0" applyFont="1" applyFill="1" applyAlignment="1">
      <alignment horizontal="left" vertical="top" wrapText="1"/>
    </xf>
    <xf numFmtId="0" fontId="12" fillId="2" borderId="3" xfId="0" applyFont="1" applyFill="1" applyBorder="1" applyAlignment="1">
      <alignment horizontal="left" vertical="center" wrapText="1"/>
    </xf>
    <xf numFmtId="0" fontId="43" fillId="2" borderId="0" xfId="0" applyFont="1" applyFill="1" applyAlignment="1">
      <alignment horizontal="left" vertical="top" wrapText="1"/>
    </xf>
    <xf numFmtId="0" fontId="43" fillId="2" borderId="0" xfId="0" applyFont="1" applyFill="1" applyAlignment="1">
      <alignment vertical="top" wrapText="1"/>
    </xf>
    <xf numFmtId="0" fontId="12" fillId="2" borderId="0" xfId="0" applyFont="1" applyFill="1" applyAlignment="1">
      <alignment vertical="top"/>
    </xf>
    <xf numFmtId="0" fontId="43" fillId="0" borderId="0" xfId="0" applyFont="1" applyAlignment="1">
      <alignment horizontal="left" vertical="top" wrapText="1"/>
    </xf>
    <xf numFmtId="0" fontId="43" fillId="2" borderId="0" xfId="0" applyFont="1" applyFill="1" applyAlignment="1">
      <alignment vertical="top"/>
    </xf>
    <xf numFmtId="0" fontId="12" fillId="2" borderId="0" xfId="0" applyFont="1" applyFill="1" applyAlignment="1">
      <alignment horizontal="left" vertical="top" wrapText="1"/>
    </xf>
    <xf numFmtId="168" fontId="43" fillId="2" borderId="0" xfId="0" applyNumberFormat="1" applyFont="1" applyFill="1" applyAlignment="1">
      <alignment horizontal="left" vertical="top" wrapText="1"/>
    </xf>
    <xf numFmtId="168" fontId="12" fillId="2" borderId="0" xfId="0" applyNumberFormat="1" applyFont="1" applyFill="1" applyAlignment="1">
      <alignment horizontal="left" vertical="top" wrapText="1"/>
    </xf>
    <xf numFmtId="0" fontId="30" fillId="0" borderId="0" xfId="0" applyFont="1" applyAlignment="1">
      <alignment vertical="top" wrapText="1"/>
    </xf>
    <xf numFmtId="49" fontId="189" fillId="0" borderId="0" xfId="0" applyNumberFormat="1" applyFont="1"/>
    <xf numFmtId="0" fontId="182" fillId="2" borderId="16" xfId="0" applyFont="1" applyFill="1" applyBorder="1" applyAlignment="1">
      <alignment horizontal="left" vertical="center" wrapText="1" indent="2"/>
    </xf>
    <xf numFmtId="10" fontId="49" fillId="0" borderId="0" xfId="0" applyNumberFormat="1" applyFont="1" applyAlignment="1">
      <alignment horizontal="right" vertical="center" wrapText="1"/>
    </xf>
    <xf numFmtId="0" fontId="182" fillId="2" borderId="16" xfId="0" applyFont="1" applyFill="1" applyBorder="1" applyAlignment="1">
      <alignment horizontal="left" vertical="center" wrapText="1" indent="3"/>
    </xf>
    <xf numFmtId="0" fontId="12" fillId="2" borderId="0" xfId="0" applyFont="1" applyFill="1" applyAlignment="1">
      <alignment horizontal="left" vertical="center" wrapText="1"/>
    </xf>
    <xf numFmtId="10" fontId="0" fillId="0" borderId="0" xfId="0" applyNumberFormat="1"/>
    <xf numFmtId="10" fontId="0" fillId="2" borderId="0" xfId="0" applyNumberFormat="1" applyFill="1"/>
    <xf numFmtId="0" fontId="27" fillId="2" borderId="16" xfId="0" applyFont="1" applyFill="1" applyBorder="1" applyAlignment="1">
      <alignment vertical="center" wrapText="1"/>
    </xf>
    <xf numFmtId="0" fontId="31" fillId="0" borderId="3" xfId="0" applyFont="1" applyBorder="1" applyAlignment="1">
      <alignment vertical="center" wrapText="1"/>
    </xf>
    <xf numFmtId="181" fontId="33" fillId="0" borderId="0" xfId="0" applyNumberFormat="1" applyFont="1" applyAlignment="1">
      <alignment vertical="center"/>
    </xf>
    <xf numFmtId="181" fontId="33" fillId="0" borderId="0" xfId="0" applyNumberFormat="1" applyFont="1" applyAlignment="1">
      <alignment horizontal="right" vertical="center"/>
    </xf>
    <xf numFmtId="0" fontId="47" fillId="77" borderId="6" xfId="0" applyFont="1" applyFill="1" applyBorder="1" applyAlignment="1">
      <alignment vertical="center" wrapText="1"/>
    </xf>
    <xf numFmtId="0" fontId="44" fillId="2" borderId="0" xfId="0" applyFont="1" applyFill="1" applyAlignment="1">
      <alignment horizontal="center" vertical="center"/>
    </xf>
    <xf numFmtId="0" fontId="194" fillId="75" borderId="4" xfId="0" applyFont="1" applyFill="1" applyBorder="1" applyAlignment="1">
      <alignment vertical="center" wrapText="1"/>
    </xf>
    <xf numFmtId="0" fontId="194" fillId="75" borderId="15" xfId="0" applyFont="1" applyFill="1" applyBorder="1" applyAlignment="1">
      <alignment vertical="center" wrapText="1"/>
    </xf>
    <xf numFmtId="0" fontId="194" fillId="75" borderId="5" xfId="0" applyFont="1" applyFill="1" applyBorder="1" applyAlignment="1">
      <alignment vertical="center" wrapText="1"/>
    </xf>
    <xf numFmtId="0" fontId="194" fillId="75" borderId="17" xfId="0" applyFont="1" applyFill="1" applyBorder="1" applyAlignment="1">
      <alignment vertical="center" wrapText="1"/>
    </xf>
    <xf numFmtId="0" fontId="12" fillId="0" borderId="9" xfId="0" applyFont="1" applyBorder="1" applyAlignment="1">
      <alignment horizontal="left" vertical="center"/>
    </xf>
    <xf numFmtId="170" fontId="174" fillId="0" borderId="0" xfId="0" applyNumberFormat="1" applyFont="1" applyAlignment="1">
      <alignment horizontal="right" vertical="center"/>
    </xf>
    <xf numFmtId="173" fontId="12" fillId="2" borderId="9" xfId="0" applyNumberFormat="1" applyFont="1" applyFill="1" applyBorder="1" applyAlignment="1">
      <alignment horizontal="right" vertical="center"/>
    </xf>
    <xf numFmtId="173" fontId="12" fillId="2" borderId="9" xfId="0" applyNumberFormat="1" applyFont="1" applyFill="1" applyBorder="1" applyAlignment="1">
      <alignment vertical="center"/>
    </xf>
    <xf numFmtId="174" fontId="31" fillId="2" borderId="9" xfId="1" applyNumberFormat="1" applyFont="1" applyFill="1" applyBorder="1" applyAlignment="1">
      <alignment horizontal="right" vertical="center"/>
    </xf>
    <xf numFmtId="167" fontId="12" fillId="2" borderId="9" xfId="0" applyNumberFormat="1" applyFont="1" applyFill="1" applyBorder="1" applyAlignment="1">
      <alignment horizontal="right" vertical="center"/>
    </xf>
    <xf numFmtId="165" fontId="31" fillId="2" borderId="9" xfId="0" applyNumberFormat="1" applyFont="1" applyFill="1" applyBorder="1" applyAlignment="1">
      <alignment horizontal="right" vertical="center"/>
    </xf>
    <xf numFmtId="174" fontId="33" fillId="0" borderId="9" xfId="0" applyNumberFormat="1" applyFont="1" applyBorder="1" applyAlignment="1">
      <alignment vertical="center"/>
    </xf>
    <xf numFmtId="174" fontId="33" fillId="2" borderId="9" xfId="0" applyNumberFormat="1" applyFont="1" applyFill="1" applyBorder="1" applyAlignment="1">
      <alignment vertical="center"/>
    </xf>
    <xf numFmtId="181" fontId="12" fillId="0" borderId="0" xfId="0" applyNumberFormat="1" applyFont="1" applyAlignment="1">
      <alignment vertical="center"/>
    </xf>
    <xf numFmtId="181" fontId="12" fillId="0" borderId="9" xfId="0" applyNumberFormat="1" applyFont="1" applyBorder="1" applyAlignment="1">
      <alignment vertical="center"/>
    </xf>
    <xf numFmtId="181" fontId="31" fillId="0" borderId="0" xfId="0" applyNumberFormat="1" applyFont="1" applyAlignment="1">
      <alignment horizontal="right" vertical="center"/>
    </xf>
    <xf numFmtId="181" fontId="12" fillId="0" borderId="0" xfId="0" applyNumberFormat="1" applyFont="1" applyAlignment="1">
      <alignment horizontal="right" vertical="center"/>
    </xf>
    <xf numFmtId="182" fontId="33" fillId="0" borderId="9" xfId="0" applyNumberFormat="1" applyFont="1" applyBorder="1" applyAlignment="1">
      <alignment vertical="center"/>
    </xf>
    <xf numFmtId="182" fontId="25" fillId="0" borderId="9" xfId="0" applyNumberFormat="1" applyFont="1" applyBorder="1" applyAlignment="1">
      <alignment horizontal="right" vertical="center"/>
    </xf>
    <xf numFmtId="181" fontId="25" fillId="0" borderId="0" xfId="0" applyNumberFormat="1" applyFont="1" applyAlignment="1">
      <alignment horizontal="right" vertical="center"/>
    </xf>
    <xf numFmtId="0" fontId="12" fillId="0" borderId="0" xfId="0" applyFont="1" applyAlignment="1">
      <alignment vertical="top"/>
    </xf>
    <xf numFmtId="0" fontId="12" fillId="2" borderId="16" xfId="0" applyFont="1" applyFill="1" applyBorder="1" applyAlignment="1">
      <alignment horizontal="left" vertical="center"/>
    </xf>
    <xf numFmtId="0" fontId="187" fillId="0" borderId="0" xfId="0" applyFont="1"/>
    <xf numFmtId="0" fontId="203" fillId="2" borderId="0" xfId="0" applyFont="1" applyFill="1"/>
    <xf numFmtId="165" fontId="31" fillId="0" borderId="9" xfId="0" applyNumberFormat="1" applyFont="1" applyBorder="1" applyAlignment="1">
      <alignment horizontal="right" vertical="center"/>
    </xf>
    <xf numFmtId="165" fontId="31" fillId="0" borderId="0" xfId="0" applyNumberFormat="1" applyFont="1" applyAlignment="1">
      <alignment horizontal="right" vertical="center"/>
    </xf>
    <xf numFmtId="165" fontId="31" fillId="0" borderId="3" xfId="0" applyNumberFormat="1" applyFont="1" applyBorder="1" applyAlignment="1">
      <alignment horizontal="right" vertical="center"/>
    </xf>
    <xf numFmtId="173" fontId="12" fillId="0" borderId="9" xfId="0" applyNumberFormat="1" applyFont="1" applyBorder="1" applyAlignment="1">
      <alignment vertical="center"/>
    </xf>
    <xf numFmtId="173" fontId="12" fillId="0" borderId="0" xfId="0" applyNumberFormat="1" applyFont="1" applyAlignment="1">
      <alignment vertical="center"/>
    </xf>
    <xf numFmtId="170" fontId="12" fillId="0" borderId="0" xfId="0" applyNumberFormat="1" applyFont="1" applyAlignment="1">
      <alignment horizontal="right" vertical="center"/>
    </xf>
    <xf numFmtId="170" fontId="12" fillId="0" borderId="9" xfId="0" applyNumberFormat="1" applyFont="1" applyBorder="1" applyAlignment="1">
      <alignment vertical="center"/>
    </xf>
    <xf numFmtId="170" fontId="12" fillId="0" borderId="0" xfId="0" applyNumberFormat="1" applyFont="1" applyAlignment="1">
      <alignment vertical="center"/>
    </xf>
    <xf numFmtId="167" fontId="12" fillId="0" borderId="9" xfId="0" applyNumberFormat="1" applyFont="1" applyBorder="1" applyAlignment="1">
      <alignment horizontal="right" vertical="center"/>
    </xf>
    <xf numFmtId="167" fontId="12" fillId="0" borderId="0" xfId="0" applyNumberFormat="1" applyFont="1" applyAlignment="1">
      <alignment horizontal="right" vertical="center"/>
    </xf>
    <xf numFmtId="173" fontId="12" fillId="0" borderId="0" xfId="0" applyNumberFormat="1" applyFont="1" applyAlignment="1">
      <alignment horizontal="right" vertical="center"/>
    </xf>
    <xf numFmtId="177" fontId="12" fillId="0" borderId="9" xfId="0" applyNumberFormat="1" applyFont="1" applyBorder="1" applyAlignment="1">
      <alignment vertical="center"/>
    </xf>
    <xf numFmtId="167" fontId="12" fillId="0" borderId="9" xfId="0" applyNumberFormat="1" applyFont="1" applyBorder="1" applyAlignment="1">
      <alignment vertical="center"/>
    </xf>
    <xf numFmtId="167" fontId="12" fillId="0" borderId="0" xfId="0" applyNumberFormat="1" applyFont="1" applyAlignment="1">
      <alignment vertical="center"/>
    </xf>
    <xf numFmtId="175" fontId="12" fillId="0" borderId="9" xfId="0" applyNumberFormat="1" applyFont="1" applyBorder="1" applyAlignment="1">
      <alignment vertical="center"/>
    </xf>
    <xf numFmtId="173" fontId="12" fillId="0" borderId="9" xfId="0" applyNumberFormat="1" applyFont="1" applyBorder="1" applyAlignment="1">
      <alignment horizontal="right" vertical="center"/>
    </xf>
    <xf numFmtId="173" fontId="12" fillId="0" borderId="3" xfId="0" applyNumberFormat="1" applyFont="1" applyBorder="1" applyAlignment="1">
      <alignment horizontal="right" vertical="center"/>
    </xf>
    <xf numFmtId="175" fontId="12" fillId="0" borderId="0" xfId="0" applyNumberFormat="1" applyFont="1" applyAlignment="1">
      <alignment vertical="center"/>
    </xf>
    <xf numFmtId="174" fontId="31" fillId="0" borderId="9" xfId="1" applyNumberFormat="1" applyFont="1" applyFill="1" applyBorder="1" applyAlignment="1">
      <alignment horizontal="right" vertical="center"/>
    </xf>
    <xf numFmtId="174" fontId="31" fillId="0" borderId="0" xfId="1" applyNumberFormat="1" applyFont="1" applyFill="1" applyBorder="1" applyAlignment="1">
      <alignment horizontal="right" vertical="center"/>
    </xf>
    <xf numFmtId="174" fontId="31" fillId="0" borderId="3" xfId="1" applyNumberFormat="1" applyFont="1" applyFill="1" applyBorder="1" applyAlignment="1">
      <alignment horizontal="right" vertical="center"/>
    </xf>
    <xf numFmtId="167" fontId="12" fillId="0" borderId="3" xfId="0" applyNumberFormat="1" applyFont="1" applyBorder="1" applyAlignment="1">
      <alignment horizontal="right" vertical="center"/>
    </xf>
    <xf numFmtId="175" fontId="33" fillId="0" borderId="9" xfId="0" applyNumberFormat="1" applyFont="1" applyBorder="1" applyAlignment="1">
      <alignment vertical="center"/>
    </xf>
    <xf numFmtId="175" fontId="33" fillId="0" borderId="0" xfId="0" applyNumberFormat="1" applyFont="1" applyAlignment="1">
      <alignment vertical="center"/>
    </xf>
    <xf numFmtId="170" fontId="33" fillId="0" borderId="0" xfId="0" applyNumberFormat="1" applyFont="1" applyAlignment="1">
      <alignment vertical="center"/>
    </xf>
    <xf numFmtId="174" fontId="12" fillId="0" borderId="9" xfId="0" applyNumberFormat="1" applyFont="1" applyBorder="1" applyAlignment="1">
      <alignment vertical="center"/>
    </xf>
    <xf numFmtId="174" fontId="12" fillId="0" borderId="0" xfId="0" applyNumberFormat="1" applyFont="1" applyAlignment="1">
      <alignment vertical="center"/>
    </xf>
    <xf numFmtId="174" fontId="12" fillId="0" borderId="3" xfId="0" applyNumberFormat="1" applyFont="1" applyBorder="1" applyAlignment="1">
      <alignment vertical="center"/>
    </xf>
    <xf numFmtId="174" fontId="33" fillId="0" borderId="3" xfId="0" applyNumberFormat="1" applyFont="1" applyBorder="1" applyAlignment="1">
      <alignment vertical="center"/>
    </xf>
    <xf numFmtId="173" fontId="33" fillId="0" borderId="0" xfId="0" applyNumberFormat="1" applyFont="1" applyAlignment="1">
      <alignment vertical="center"/>
    </xf>
    <xf numFmtId="165" fontId="35" fillId="0" borderId="0" xfId="0" applyNumberFormat="1" applyFont="1" applyAlignment="1">
      <alignment horizontal="right" vertical="center"/>
    </xf>
    <xf numFmtId="184" fontId="12" fillId="2" borderId="9" xfId="0" applyNumberFormat="1" applyFont="1" applyFill="1" applyBorder="1" applyAlignment="1">
      <alignment horizontal="right" vertical="center"/>
    </xf>
    <xf numFmtId="182" fontId="12" fillId="0" borderId="0" xfId="0" applyNumberFormat="1" applyFont="1" applyAlignment="1">
      <alignment horizontal="right" vertical="center"/>
    </xf>
    <xf numFmtId="182" fontId="31" fillId="0" borderId="0" xfId="0" applyNumberFormat="1" applyFont="1" applyAlignment="1">
      <alignment vertical="center"/>
    </xf>
    <xf numFmtId="183" fontId="31" fillId="0" borderId="0" xfId="0" applyNumberFormat="1" applyFont="1" applyAlignment="1">
      <alignment vertical="center"/>
    </xf>
    <xf numFmtId="182" fontId="35" fillId="0" borderId="0" xfId="0" applyNumberFormat="1" applyFont="1" applyAlignment="1">
      <alignment horizontal="right" vertical="center"/>
    </xf>
    <xf numFmtId="0" fontId="23" fillId="0" borderId="11" xfId="0" applyFont="1" applyBorder="1" applyAlignment="1">
      <alignment vertical="center" wrapText="1"/>
    </xf>
    <xf numFmtId="182" fontId="23" fillId="0" borderId="2" xfId="0" applyNumberFormat="1" applyFont="1" applyBorder="1" applyAlignment="1">
      <alignment vertical="center"/>
    </xf>
    <xf numFmtId="0" fontId="79" fillId="0" borderId="0" xfId="0" applyFont="1" applyAlignment="1">
      <alignment vertical="center"/>
    </xf>
    <xf numFmtId="3" fontId="20" fillId="0" borderId="3" xfId="0" applyNumberFormat="1" applyFont="1" applyBorder="1" applyAlignment="1">
      <alignment horizontal="right" vertical="center" wrapText="1"/>
    </xf>
    <xf numFmtId="3" fontId="9" fillId="0" borderId="0" xfId="0" applyNumberFormat="1" applyFont="1" applyAlignment="1">
      <alignment vertical="center"/>
    </xf>
    <xf numFmtId="0" fontId="38" fillId="0" borderId="3" xfId="0" applyFont="1" applyBorder="1" applyAlignment="1">
      <alignment horizontal="left" vertical="center" wrapText="1" indent="1"/>
    </xf>
    <xf numFmtId="3" fontId="30" fillId="0" borderId="0" xfId="0" applyNumberFormat="1" applyFont="1" applyAlignment="1">
      <alignment horizontal="right" vertical="center" wrapText="1"/>
    </xf>
    <xf numFmtId="0" fontId="39" fillId="0" borderId="3" xfId="0" applyFont="1" applyBorder="1" applyAlignment="1">
      <alignment horizontal="left" vertical="center" wrapText="1" indent="3"/>
    </xf>
    <xf numFmtId="3" fontId="40" fillId="0" borderId="3" xfId="0" applyNumberFormat="1" applyFont="1" applyBorder="1" applyAlignment="1">
      <alignment horizontal="right" vertical="center" wrapText="1"/>
    </xf>
    <xf numFmtId="3" fontId="13" fillId="0" borderId="0" xfId="0" applyNumberFormat="1" applyFont="1" applyAlignment="1">
      <alignment horizontal="right" vertical="center" wrapText="1"/>
    </xf>
    <xf numFmtId="3" fontId="20" fillId="0" borderId="18" xfId="0" applyNumberFormat="1" applyFont="1" applyBorder="1" applyAlignment="1">
      <alignment horizontal="right" vertical="center" wrapText="1"/>
    </xf>
    <xf numFmtId="170" fontId="30" fillId="0" borderId="0" xfId="0" applyNumberFormat="1" applyFont="1" applyAlignment="1">
      <alignment horizontal="right" vertical="center" wrapText="1"/>
    </xf>
    <xf numFmtId="0" fontId="38" fillId="0" borderId="16" xfId="0" applyFont="1" applyBorder="1" applyAlignment="1">
      <alignment horizontal="left" vertical="center"/>
    </xf>
    <xf numFmtId="167" fontId="20" fillId="0" borderId="3" xfId="0" applyNumberFormat="1" applyFont="1" applyBorder="1" applyAlignment="1">
      <alignment horizontal="right" vertical="center" wrapText="1"/>
    </xf>
    <xf numFmtId="0" fontId="38" fillId="0" borderId="3" xfId="0" applyFont="1" applyBorder="1" applyAlignment="1">
      <alignment horizontal="left" vertical="center" wrapText="1"/>
    </xf>
    <xf numFmtId="169" fontId="20" fillId="0" borderId="3" xfId="0" applyNumberFormat="1" applyFont="1" applyBorder="1" applyAlignment="1">
      <alignment horizontal="right" vertical="center" wrapText="1"/>
    </xf>
    <xf numFmtId="169" fontId="30" fillId="0" borderId="0" xfId="0" applyNumberFormat="1" applyFont="1" applyAlignment="1">
      <alignment horizontal="right" vertical="center" wrapText="1"/>
    </xf>
    <xf numFmtId="3" fontId="40" fillId="0" borderId="3" xfId="6" applyNumberFormat="1" applyFont="1" applyFill="1" applyBorder="1" applyAlignment="1">
      <alignment horizontal="right" vertical="center" wrapText="1"/>
    </xf>
    <xf numFmtId="3" fontId="20" fillId="0" borderId="3" xfId="6" applyNumberFormat="1" applyFont="1" applyFill="1" applyBorder="1" applyAlignment="1">
      <alignment horizontal="right" vertical="center" wrapText="1"/>
    </xf>
    <xf numFmtId="3" fontId="20" fillId="0" borderId="5" xfId="0" applyNumberFormat="1" applyFont="1" applyBorder="1" applyAlignment="1">
      <alignment horizontal="right" vertical="center" wrapText="1"/>
    </xf>
    <xf numFmtId="0" fontId="9" fillId="0" borderId="0" xfId="0" applyFont="1" applyAlignment="1">
      <alignment horizontal="left" vertical="top" wrapText="1"/>
    </xf>
    <xf numFmtId="0" fontId="9" fillId="0" borderId="0" xfId="0" applyFont="1" applyAlignment="1">
      <alignment vertical="top"/>
    </xf>
    <xf numFmtId="0" fontId="9" fillId="0" borderId="0" xfId="0" applyFont="1" applyAlignment="1">
      <alignment vertical="top" wrapText="1"/>
    </xf>
    <xf numFmtId="0" fontId="9" fillId="0" borderId="0" xfId="0" applyFont="1" applyAlignment="1">
      <alignment vertical="center" wrapText="1"/>
    </xf>
    <xf numFmtId="0" fontId="194" fillId="75" borderId="5" xfId="0" applyFont="1" applyFill="1" applyBorder="1" applyAlignment="1">
      <alignment horizontal="center" vertical="center"/>
    </xf>
    <xf numFmtId="0" fontId="194" fillId="75" borderId="53" xfId="0" applyFont="1" applyFill="1" applyBorder="1" applyAlignment="1">
      <alignment horizontal="center" vertical="center"/>
    </xf>
    <xf numFmtId="0" fontId="207" fillId="0" borderId="0" xfId="0" applyFont="1" applyAlignment="1">
      <alignment vertical="center"/>
    </xf>
    <xf numFmtId="177" fontId="23" fillId="77" borderId="6" xfId="0" applyNumberFormat="1" applyFont="1" applyFill="1" applyBorder="1" applyAlignment="1">
      <alignment horizontal="right" vertical="center"/>
    </xf>
    <xf numFmtId="177" fontId="23" fillId="77" borderId="7" xfId="0" applyNumberFormat="1" applyFont="1" applyFill="1" applyBorder="1" applyAlignment="1">
      <alignment horizontal="right" vertical="center"/>
    </xf>
    <xf numFmtId="170" fontId="47" fillId="80" borderId="8" xfId="0" applyNumberFormat="1" applyFont="1" applyFill="1" applyBorder="1" applyAlignment="1">
      <alignment horizontal="right" vertical="center" wrapText="1"/>
    </xf>
    <xf numFmtId="170" fontId="196" fillId="80" borderId="9" xfId="0" applyNumberFormat="1" applyFont="1" applyFill="1" applyBorder="1" applyAlignment="1">
      <alignment horizontal="right" vertical="center" wrapText="1"/>
    </xf>
    <xf numFmtId="213" fontId="23" fillId="77" borderId="6" xfId="0" applyNumberFormat="1" applyFont="1" applyFill="1" applyBorder="1" applyAlignment="1">
      <alignment horizontal="right" vertical="center"/>
    </xf>
    <xf numFmtId="213" fontId="23" fillId="77" borderId="7" xfId="0" applyNumberFormat="1" applyFont="1" applyFill="1" applyBorder="1" applyAlignment="1">
      <alignment horizontal="right" vertical="center"/>
    </xf>
    <xf numFmtId="213" fontId="47" fillId="80" borderId="8" xfId="0" applyNumberFormat="1" applyFont="1" applyFill="1" applyBorder="1" applyAlignment="1">
      <alignment horizontal="right" vertical="center" wrapText="1"/>
    </xf>
    <xf numFmtId="169" fontId="196" fillId="80" borderId="9" xfId="0" applyNumberFormat="1" applyFont="1" applyFill="1" applyBorder="1" applyAlignment="1">
      <alignment horizontal="right" vertical="center" wrapText="1"/>
    </xf>
    <xf numFmtId="166" fontId="196" fillId="80" borderId="9" xfId="0" applyNumberFormat="1" applyFont="1" applyFill="1" applyBorder="1" applyAlignment="1">
      <alignment horizontal="right" vertical="center" wrapText="1"/>
    </xf>
    <xf numFmtId="0" fontId="18" fillId="0" borderId="55" xfId="0" applyFont="1" applyBorder="1" applyAlignment="1">
      <alignment horizontal="left" vertical="center" wrapText="1"/>
    </xf>
    <xf numFmtId="0" fontId="18" fillId="0" borderId="55" xfId="0" applyFont="1" applyBorder="1" applyAlignment="1">
      <alignment horizontal="left" vertical="center"/>
    </xf>
    <xf numFmtId="3" fontId="37" fillId="0" borderId="55" xfId="0" applyNumberFormat="1" applyFont="1" applyBorder="1" applyAlignment="1">
      <alignment horizontal="right" vertical="center" wrapText="1"/>
    </xf>
    <xf numFmtId="3" fontId="37" fillId="0" borderId="56" xfId="0" applyNumberFormat="1" applyFont="1" applyBorder="1" applyAlignment="1">
      <alignment horizontal="right" vertical="center" wrapText="1"/>
    </xf>
    <xf numFmtId="170" fontId="208" fillId="80" borderId="57" xfId="0" applyNumberFormat="1" applyFont="1" applyFill="1" applyBorder="1" applyAlignment="1">
      <alignment horizontal="right" vertical="center" wrapText="1"/>
    </xf>
    <xf numFmtId="170" fontId="37" fillId="0" borderId="55" xfId="0" applyNumberFormat="1" applyFont="1" applyBorder="1" applyAlignment="1">
      <alignment horizontal="right" vertical="center" wrapText="1"/>
    </xf>
    <xf numFmtId="170" fontId="37" fillId="0" borderId="56" xfId="0" applyNumberFormat="1" applyFont="1" applyBorder="1" applyAlignment="1">
      <alignment horizontal="right" vertical="center" wrapText="1"/>
    </xf>
    <xf numFmtId="170" fontId="18" fillId="0" borderId="55" xfId="0" applyNumberFormat="1" applyFont="1" applyBorder="1" applyAlignment="1">
      <alignment horizontal="left" vertical="center" wrapText="1"/>
    </xf>
    <xf numFmtId="170" fontId="18" fillId="0" borderId="55" xfId="0" applyNumberFormat="1" applyFont="1" applyBorder="1" applyAlignment="1">
      <alignment horizontal="left" vertical="center"/>
    </xf>
    <xf numFmtId="170" fontId="9" fillId="0" borderId="0" xfId="0" applyNumberFormat="1" applyFont="1" applyAlignment="1">
      <alignment vertical="center"/>
    </xf>
    <xf numFmtId="3" fontId="196" fillId="80" borderId="9" xfId="0" applyNumberFormat="1" applyFont="1" applyFill="1" applyBorder="1" applyAlignment="1">
      <alignment horizontal="right" vertical="center" wrapText="1"/>
    </xf>
    <xf numFmtId="3" fontId="208" fillId="80" borderId="57" xfId="0" applyNumberFormat="1" applyFont="1" applyFill="1" applyBorder="1" applyAlignment="1">
      <alignment horizontal="right" vertical="center" wrapText="1"/>
    </xf>
    <xf numFmtId="3" fontId="206" fillId="81" borderId="3" xfId="0" applyNumberFormat="1" applyFont="1" applyFill="1" applyBorder="1" applyAlignment="1">
      <alignment horizontal="right" vertical="center" wrapText="1"/>
    </xf>
    <xf numFmtId="3" fontId="206" fillId="81" borderId="0" xfId="0" applyNumberFormat="1" applyFont="1" applyFill="1" applyAlignment="1">
      <alignment horizontal="right" vertical="center" wrapText="1"/>
    </xf>
    <xf numFmtId="170" fontId="47" fillId="82" borderId="50" xfId="0" applyNumberFormat="1" applyFont="1" applyFill="1" applyBorder="1" applyAlignment="1">
      <alignment horizontal="right" vertical="center" wrapText="1"/>
    </xf>
    <xf numFmtId="3" fontId="206" fillId="81" borderId="4" xfId="0" applyNumberFormat="1" applyFont="1" applyFill="1" applyBorder="1" applyAlignment="1">
      <alignment horizontal="right" vertical="center" wrapText="1"/>
    </xf>
    <xf numFmtId="169" fontId="206" fillId="81" borderId="3" xfId="6" applyNumberFormat="1" applyFont="1" applyFill="1" applyBorder="1" applyAlignment="1">
      <alignment horizontal="right" vertical="center" wrapText="1"/>
    </xf>
    <xf numFmtId="169" fontId="206" fillId="81" borderId="0" xfId="6" applyNumberFormat="1" applyFont="1" applyFill="1" applyBorder="1" applyAlignment="1">
      <alignment horizontal="right" vertical="center" wrapText="1"/>
    </xf>
    <xf numFmtId="0" fontId="18" fillId="0" borderId="58" xfId="0" applyFont="1" applyBorder="1" applyAlignment="1">
      <alignment horizontal="left" vertical="center" wrapText="1"/>
    </xf>
    <xf numFmtId="0" fontId="18" fillId="0" borderId="58" xfId="0" applyFont="1" applyBorder="1" applyAlignment="1">
      <alignment horizontal="left" vertical="center"/>
    </xf>
    <xf numFmtId="3" fontId="37" fillId="0" borderId="58" xfId="0" applyNumberFormat="1" applyFont="1" applyBorder="1" applyAlignment="1">
      <alignment horizontal="right" vertical="center" wrapText="1"/>
    </xf>
    <xf numFmtId="3" fontId="37" fillId="0" borderId="59" xfId="0" applyNumberFormat="1" applyFont="1" applyBorder="1" applyAlignment="1">
      <alignment horizontal="right" vertical="center" wrapText="1"/>
    </xf>
    <xf numFmtId="3" fontId="208" fillId="80" borderId="60" xfId="0" applyNumberFormat="1" applyFont="1" applyFill="1" applyBorder="1" applyAlignment="1">
      <alignment horizontal="right" vertical="center" wrapText="1"/>
    </xf>
    <xf numFmtId="0" fontId="194" fillId="75" borderId="3" xfId="0" applyFont="1" applyFill="1" applyBorder="1" applyAlignment="1">
      <alignment vertical="center" wrapText="1"/>
    </xf>
    <xf numFmtId="170" fontId="47" fillId="82" borderId="9" xfId="0" applyNumberFormat="1" applyFont="1" applyFill="1" applyBorder="1" applyAlignment="1">
      <alignment horizontal="right" vertical="center" wrapText="1"/>
    </xf>
    <xf numFmtId="2" fontId="20" fillId="0" borderId="3" xfId="0" applyNumberFormat="1" applyFont="1" applyBorder="1" applyAlignment="1">
      <alignment horizontal="right" vertical="center" wrapText="1"/>
    </xf>
    <xf numFmtId="2" fontId="20" fillId="0" borderId="0" xfId="0" applyNumberFormat="1" applyFont="1" applyAlignment="1">
      <alignment horizontal="right" vertical="center" wrapText="1"/>
    </xf>
    <xf numFmtId="4" fontId="30" fillId="0" borderId="0" xfId="0" applyNumberFormat="1" applyFont="1" applyAlignment="1">
      <alignment horizontal="right" vertical="center" wrapText="1"/>
    </xf>
    <xf numFmtId="3" fontId="37" fillId="0" borderId="61" xfId="0" applyNumberFormat="1" applyFont="1" applyBorder="1" applyAlignment="1">
      <alignment horizontal="right" vertical="center" wrapText="1"/>
    </xf>
    <xf numFmtId="3" fontId="37" fillId="0" borderId="62" xfId="0" applyNumberFormat="1" applyFont="1" applyBorder="1" applyAlignment="1">
      <alignment horizontal="right" vertical="center" wrapText="1"/>
    </xf>
    <xf numFmtId="170" fontId="208" fillId="80" borderId="63" xfId="0" applyNumberFormat="1" applyFont="1" applyFill="1" applyBorder="1" applyAlignment="1">
      <alignment horizontal="right" vertical="center" wrapText="1"/>
    </xf>
    <xf numFmtId="3" fontId="209" fillId="80" borderId="9" xfId="0" applyNumberFormat="1" applyFont="1" applyFill="1" applyBorder="1" applyAlignment="1">
      <alignment horizontal="right" vertical="center" wrapText="1"/>
    </xf>
    <xf numFmtId="3" fontId="47" fillId="80" borderId="8" xfId="0" applyNumberFormat="1" applyFont="1" applyFill="1" applyBorder="1" applyAlignment="1">
      <alignment horizontal="right" vertical="center" wrapText="1"/>
    </xf>
    <xf numFmtId="3" fontId="208" fillId="80" borderId="63" xfId="0" applyNumberFormat="1" applyFont="1" applyFill="1" applyBorder="1" applyAlignment="1">
      <alignment horizontal="right" vertical="center" wrapText="1"/>
    </xf>
    <xf numFmtId="3" fontId="38" fillId="0" borderId="3" xfId="0" applyNumberFormat="1" applyFont="1" applyBorder="1" applyAlignment="1">
      <alignment horizontal="left" vertical="center" wrapText="1" indent="1"/>
    </xf>
    <xf numFmtId="3" fontId="38" fillId="0" borderId="5" xfId="0" applyNumberFormat="1" applyFont="1" applyBorder="1" applyAlignment="1">
      <alignment horizontal="left" vertical="center" wrapText="1" indent="1"/>
    </xf>
    <xf numFmtId="3" fontId="196" fillId="80" borderId="13" xfId="0" applyNumberFormat="1" applyFont="1" applyFill="1" applyBorder="1" applyAlignment="1">
      <alignment horizontal="right" vertical="center" wrapText="1"/>
    </xf>
    <xf numFmtId="3" fontId="18" fillId="0" borderId="55" xfId="0" applyNumberFormat="1" applyFont="1" applyBorder="1" applyAlignment="1">
      <alignment horizontal="left" vertical="center" wrapText="1"/>
    </xf>
    <xf numFmtId="3" fontId="18" fillId="0" borderId="55" xfId="0" applyNumberFormat="1" applyFont="1" applyBorder="1" applyAlignment="1">
      <alignment horizontal="left" vertical="center"/>
    </xf>
    <xf numFmtId="0" fontId="210" fillId="0" borderId="0" xfId="0" applyFont="1" applyAlignment="1">
      <alignment vertical="center"/>
    </xf>
    <xf numFmtId="0" fontId="194" fillId="75" borderId="10" xfId="0" applyFont="1" applyFill="1" applyBorder="1" applyAlignment="1">
      <alignment horizontal="center" vertical="center"/>
    </xf>
    <xf numFmtId="0" fontId="194" fillId="75" borderId="0" xfId="0" applyFont="1" applyFill="1" applyAlignment="1">
      <alignment horizontal="center" vertical="center"/>
    </xf>
    <xf numFmtId="0" fontId="0" fillId="0" borderId="0" xfId="0" applyAlignment="1">
      <alignment horizontal="right"/>
    </xf>
    <xf numFmtId="0" fontId="42" fillId="0" borderId="5" xfId="0" applyFont="1" applyBorder="1" applyAlignment="1">
      <alignment horizontal="right" vertical="center"/>
    </xf>
    <xf numFmtId="0" fontId="42" fillId="0" borderId="7" xfId="0" applyFont="1" applyBorder="1" applyAlignment="1">
      <alignment horizontal="right" vertical="center"/>
    </xf>
    <xf numFmtId="0" fontId="16" fillId="0" borderId="0" xfId="0" applyFont="1" applyAlignment="1">
      <alignment vertical="center"/>
    </xf>
    <xf numFmtId="0" fontId="62" fillId="0" borderId="14" xfId="0" applyFont="1" applyBorder="1" applyAlignment="1">
      <alignment horizontal="left" vertical="center" wrapText="1"/>
    </xf>
    <xf numFmtId="169" fontId="180" fillId="0" borderId="9" xfId="0" applyNumberFormat="1" applyFont="1" applyBorder="1" applyAlignment="1">
      <alignment horizontal="right" vertical="center" wrapText="1"/>
    </xf>
    <xf numFmtId="10" fontId="173" fillId="0" borderId="0" xfId="7" applyNumberFormat="1" applyFont="1" applyFill="1" applyBorder="1" applyAlignment="1">
      <alignment horizontal="right" vertical="center" wrapText="1"/>
    </xf>
    <xf numFmtId="3" fontId="49" fillId="0" borderId="9" xfId="0" applyNumberFormat="1" applyFont="1" applyBorder="1" applyAlignment="1">
      <alignment horizontal="right" vertical="center" wrapText="1"/>
    </xf>
    <xf numFmtId="3" fontId="180" fillId="0" borderId="9" xfId="0" applyNumberFormat="1" applyFont="1" applyBorder="1" applyAlignment="1">
      <alignment horizontal="right" vertical="center" wrapText="1"/>
    </xf>
    <xf numFmtId="3" fontId="180" fillId="0" borderId="13" xfId="0" applyNumberFormat="1" applyFont="1" applyBorder="1" applyAlignment="1">
      <alignment horizontal="right" vertical="center" wrapText="1"/>
    </xf>
    <xf numFmtId="0" fontId="30" fillId="0" borderId="0" xfId="0" applyFont="1" applyAlignment="1">
      <alignment horizontal="left" vertical="top"/>
    </xf>
    <xf numFmtId="0" fontId="184" fillId="0" borderId="0" xfId="0" applyFont="1" applyAlignment="1">
      <alignment vertical="center"/>
    </xf>
    <xf numFmtId="0" fontId="29" fillId="0" borderId="0" xfId="0" applyFont="1" applyAlignment="1">
      <alignment horizontal="left" vertical="center" wrapText="1"/>
    </xf>
    <xf numFmtId="0" fontId="180" fillId="0" borderId="0" xfId="0" applyFont="1" applyAlignment="1">
      <alignment vertical="center"/>
    </xf>
    <xf numFmtId="0" fontId="81" fillId="0" borderId="14" xfId="0" applyFont="1" applyBorder="1" applyAlignment="1">
      <alignment horizontal="left" vertical="center" wrapText="1"/>
    </xf>
    <xf numFmtId="0" fontId="0" fillId="0" borderId="0" xfId="0" applyAlignment="1">
      <alignment wrapText="1"/>
    </xf>
    <xf numFmtId="0" fontId="62" fillId="0" borderId="12" xfId="0" applyFont="1" applyBorder="1" applyAlignment="1">
      <alignment horizontal="left" vertical="center" wrapText="1"/>
    </xf>
    <xf numFmtId="0" fontId="62" fillId="81" borderId="5" xfId="0" applyFont="1" applyFill="1" applyBorder="1" applyAlignment="1">
      <alignment horizontal="right" vertical="center"/>
    </xf>
    <xf numFmtId="0" fontId="62" fillId="81" borderId="53" xfId="0" applyFont="1" applyFill="1" applyBorder="1" applyAlignment="1">
      <alignment horizontal="right" vertical="center"/>
    </xf>
    <xf numFmtId="0" fontId="62" fillId="0" borderId="5" xfId="0" applyFont="1" applyBorder="1" applyAlignment="1">
      <alignment horizontal="right" vertical="center"/>
    </xf>
    <xf numFmtId="0" fontId="62" fillId="0" borderId="7" xfId="0" applyFont="1" applyBorder="1" applyAlignment="1">
      <alignment horizontal="right" vertical="center"/>
    </xf>
    <xf numFmtId="0" fontId="62" fillId="0" borderId="4" xfId="0" applyFont="1" applyBorder="1" applyAlignment="1">
      <alignment horizontal="left" vertical="center" wrapText="1"/>
    </xf>
    <xf numFmtId="0" fontId="62" fillId="0" borderId="49" xfId="0" applyFont="1" applyBorder="1" applyAlignment="1">
      <alignment horizontal="left" vertical="center" wrapText="1"/>
    </xf>
    <xf numFmtId="0" fontId="81" fillId="0" borderId="49" xfId="0" applyFont="1" applyBorder="1" applyAlignment="1">
      <alignment horizontal="left" vertical="center" wrapText="1"/>
    </xf>
    <xf numFmtId="0" fontId="15" fillId="2" borderId="54" xfId="0" applyFont="1" applyFill="1" applyBorder="1" applyAlignment="1">
      <alignment vertical="center" wrapText="1"/>
    </xf>
    <xf numFmtId="10" fontId="180" fillId="0" borderId="56" xfId="7" applyNumberFormat="1" applyFont="1" applyFill="1" applyBorder="1" applyAlignment="1">
      <alignment horizontal="right" vertical="center" wrapText="1"/>
    </xf>
    <xf numFmtId="10" fontId="180" fillId="0" borderId="56" xfId="0" applyNumberFormat="1" applyFont="1" applyBorder="1" applyAlignment="1">
      <alignment horizontal="right" vertical="center" wrapText="1"/>
    </xf>
    <xf numFmtId="169" fontId="180" fillId="0" borderId="57" xfId="0" applyNumberFormat="1" applyFont="1" applyBorder="1" applyAlignment="1">
      <alignment horizontal="right" vertical="center" wrapText="1"/>
    </xf>
    <xf numFmtId="10" fontId="180" fillId="2" borderId="56" xfId="7" applyNumberFormat="1" applyFont="1" applyFill="1" applyBorder="1" applyAlignment="1">
      <alignment horizontal="right" vertical="center" wrapText="1"/>
    </xf>
    <xf numFmtId="169" fontId="180" fillId="2" borderId="56" xfId="7" applyNumberFormat="1" applyFont="1" applyFill="1" applyBorder="1" applyAlignment="1">
      <alignment horizontal="right" vertical="center" wrapText="1"/>
    </xf>
    <xf numFmtId="169" fontId="180" fillId="0" borderId="56" xfId="7" applyNumberFormat="1" applyFont="1" applyFill="1" applyBorder="1" applyAlignment="1">
      <alignment horizontal="right" vertical="center" wrapText="1"/>
    </xf>
    <xf numFmtId="169" fontId="180" fillId="0" borderId="56" xfId="0" applyNumberFormat="1" applyFont="1" applyBorder="1" applyAlignment="1">
      <alignment horizontal="right" vertical="center" wrapText="1"/>
    </xf>
    <xf numFmtId="3" fontId="15" fillId="2" borderId="54" xfId="0" applyNumberFormat="1" applyFont="1" applyFill="1" applyBorder="1" applyAlignment="1">
      <alignment vertical="center" wrapText="1"/>
    </xf>
    <xf numFmtId="3" fontId="180" fillId="0" borderId="56" xfId="7" applyNumberFormat="1" applyFont="1" applyFill="1" applyBorder="1" applyAlignment="1">
      <alignment horizontal="right" vertical="center" wrapText="1"/>
    </xf>
    <xf numFmtId="3" fontId="180" fillId="0" borderId="56" xfId="0" applyNumberFormat="1" applyFont="1" applyBorder="1" applyAlignment="1">
      <alignment horizontal="right" vertical="center" wrapText="1"/>
    </xf>
    <xf numFmtId="3" fontId="180" fillId="0" borderId="57" xfId="0" applyNumberFormat="1" applyFont="1" applyBorder="1" applyAlignment="1">
      <alignment horizontal="right" vertical="center" wrapText="1"/>
    </xf>
    <xf numFmtId="3" fontId="180" fillId="2" borderId="56" xfId="7" applyNumberFormat="1" applyFont="1" applyFill="1" applyBorder="1" applyAlignment="1">
      <alignment horizontal="right" vertical="center" wrapText="1"/>
    </xf>
    <xf numFmtId="0" fontId="211" fillId="2" borderId="0" xfId="0" applyFont="1" applyFill="1" applyAlignment="1">
      <alignment vertical="center"/>
    </xf>
    <xf numFmtId="0" fontId="81" fillId="0" borderId="0" xfId="0" applyFont="1"/>
    <xf numFmtId="0" fontId="81" fillId="0" borderId="0" xfId="0" applyFont="1" applyAlignment="1">
      <alignment horizontal="right"/>
    </xf>
    <xf numFmtId="0" fontId="115" fillId="0" borderId="0" xfId="0" applyFont="1"/>
    <xf numFmtId="0" fontId="115" fillId="0" borderId="0" xfId="0" applyFont="1" applyAlignment="1">
      <alignment horizontal="right"/>
    </xf>
    <xf numFmtId="168" fontId="12" fillId="0" borderId="0" xfId="0" applyNumberFormat="1" applyFont="1" applyAlignment="1">
      <alignment vertical="center"/>
    </xf>
    <xf numFmtId="168" fontId="12" fillId="0" borderId="3" xfId="0" applyNumberFormat="1" applyFont="1" applyBorder="1" applyAlignment="1">
      <alignment vertical="center"/>
    </xf>
    <xf numFmtId="0" fontId="191" fillId="83" borderId="3" xfId="0" applyFont="1" applyFill="1" applyBorder="1" applyAlignment="1">
      <alignment vertical="center" wrapText="1"/>
    </xf>
    <xf numFmtId="177" fontId="191" fillId="83" borderId="0" xfId="0" applyNumberFormat="1" applyFont="1" applyFill="1" applyAlignment="1">
      <alignment vertical="center"/>
    </xf>
    <xf numFmtId="0" fontId="22" fillId="0" borderId="65" xfId="0" applyFont="1" applyBorder="1" applyAlignment="1">
      <alignment vertical="center" wrapText="1"/>
    </xf>
    <xf numFmtId="182" fontId="23" fillId="0" borderId="66" xfId="0" applyNumberFormat="1" applyFont="1" applyBorder="1" applyAlignment="1">
      <alignment horizontal="right" vertical="center"/>
    </xf>
    <xf numFmtId="182" fontId="23" fillId="0" borderId="66" xfId="0" applyNumberFormat="1" applyFont="1" applyBorder="1" applyAlignment="1">
      <alignment vertical="center"/>
    </xf>
    <xf numFmtId="0" fontId="214" fillId="83" borderId="3" xfId="0" applyFont="1" applyFill="1" applyBorder="1" applyAlignment="1">
      <alignment vertical="center" wrapText="1"/>
    </xf>
    <xf numFmtId="177" fontId="214" fillId="83" borderId="3" xfId="0" applyNumberFormat="1" applyFont="1" applyFill="1" applyBorder="1" applyAlignment="1">
      <alignment vertical="center"/>
    </xf>
    <xf numFmtId="177" fontId="214" fillId="83" borderId="0" xfId="0" applyNumberFormat="1" applyFont="1" applyFill="1" applyAlignment="1">
      <alignment vertical="center"/>
    </xf>
    <xf numFmtId="177" fontId="214" fillId="83" borderId="9" xfId="0" applyNumberFormat="1" applyFont="1" applyFill="1" applyBorder="1" applyAlignment="1">
      <alignment vertical="center"/>
    </xf>
    <xf numFmtId="0" fontId="32" fillId="2" borderId="16" xfId="0" applyFont="1" applyFill="1" applyBorder="1" applyAlignment="1">
      <alignment horizontal="left" vertical="center" indent="2"/>
    </xf>
    <xf numFmtId="0" fontId="190" fillId="0" borderId="9" xfId="0" applyFont="1" applyBorder="1" applyAlignment="1">
      <alignment horizontal="left" vertical="center" indent="3"/>
    </xf>
    <xf numFmtId="0" fontId="201" fillId="75" borderId="0" xfId="0" applyFont="1" applyFill="1" applyAlignment="1">
      <alignment vertical="center" wrapText="1"/>
    </xf>
    <xf numFmtId="0" fontId="201" fillId="75" borderId="16" xfId="0" applyFont="1" applyFill="1" applyBorder="1" applyAlignment="1">
      <alignment vertical="center" wrapText="1"/>
    </xf>
    <xf numFmtId="0" fontId="202" fillId="0" borderId="0" xfId="0" applyFont="1"/>
    <xf numFmtId="0" fontId="46" fillId="0" borderId="65" xfId="0" applyFont="1" applyBorder="1" applyAlignment="1">
      <alignment vertical="center" wrapText="1"/>
    </xf>
    <xf numFmtId="177" fontId="187" fillId="0" borderId="65" xfId="0" applyNumberFormat="1" applyFont="1" applyBorder="1" applyAlignment="1">
      <alignment vertical="center"/>
    </xf>
    <xf numFmtId="177" fontId="187" fillId="0" borderId="66" xfId="0" applyNumberFormat="1" applyFont="1" applyBorder="1" applyAlignment="1">
      <alignment vertical="center"/>
    </xf>
    <xf numFmtId="177" fontId="187" fillId="0" borderId="67" xfId="0" applyNumberFormat="1" applyFont="1" applyBorder="1" applyAlignment="1">
      <alignment vertical="center"/>
    </xf>
    <xf numFmtId="0" fontId="46" fillId="0" borderId="64" xfId="0" applyFont="1" applyBorder="1" applyAlignment="1">
      <alignment vertical="center" wrapText="1"/>
    </xf>
    <xf numFmtId="0" fontId="210" fillId="78" borderId="0" xfId="0" applyFont="1" applyFill="1"/>
    <xf numFmtId="0" fontId="178" fillId="0" borderId="0" xfId="0" applyFont="1" applyAlignment="1">
      <alignment horizontal="right" vertical="center" wrapText="1"/>
    </xf>
    <xf numFmtId="0" fontId="191" fillId="75" borderId="68" xfId="0" applyFont="1" applyFill="1" applyBorder="1" applyAlignment="1">
      <alignment horizontal="left" vertical="center" wrapText="1"/>
    </xf>
    <xf numFmtId="185" fontId="22" fillId="2" borderId="68" xfId="0" applyNumberFormat="1" applyFont="1" applyFill="1" applyBorder="1" applyAlignment="1">
      <alignment vertical="center" wrapText="1"/>
    </xf>
    <xf numFmtId="0" fontId="191" fillId="75" borderId="69" xfId="0" applyFont="1" applyFill="1" applyBorder="1" applyAlignment="1">
      <alignment horizontal="left" vertical="center" wrapText="1"/>
    </xf>
    <xf numFmtId="185" fontId="22" fillId="2" borderId="69" xfId="0" applyNumberFormat="1" applyFont="1" applyFill="1" applyBorder="1" applyAlignment="1">
      <alignment vertical="center" wrapText="1"/>
    </xf>
    <xf numFmtId="0" fontId="191" fillId="75" borderId="70" xfId="0" applyFont="1" applyFill="1" applyBorder="1" applyAlignment="1">
      <alignment horizontal="left" vertical="center" wrapText="1"/>
    </xf>
    <xf numFmtId="185" fontId="22" fillId="2" borderId="70" xfId="0" applyNumberFormat="1" applyFont="1" applyFill="1" applyBorder="1" applyAlignment="1">
      <alignment vertical="center" wrapText="1"/>
    </xf>
    <xf numFmtId="0" fontId="192" fillId="75" borderId="70" xfId="0" applyFont="1" applyFill="1" applyBorder="1" applyAlignment="1">
      <alignment horizontal="right" vertical="center"/>
    </xf>
    <xf numFmtId="0" fontId="194" fillId="75" borderId="70" xfId="0" applyFont="1" applyFill="1" applyBorder="1" applyAlignment="1">
      <alignment horizontal="right" vertical="center"/>
    </xf>
    <xf numFmtId="0" fontId="191" fillId="76" borderId="70" xfId="0" applyFont="1" applyFill="1" applyBorder="1" applyAlignment="1">
      <alignment horizontal="right" vertical="center"/>
    </xf>
    <xf numFmtId="0" fontId="191" fillId="75" borderId="70" xfId="0" applyFont="1" applyFill="1" applyBorder="1" applyAlignment="1">
      <alignment horizontal="right" vertical="center"/>
    </xf>
    <xf numFmtId="0" fontId="62" fillId="75" borderId="70" xfId="0" applyFont="1" applyFill="1" applyBorder="1" applyAlignment="1">
      <alignment horizontal="right" vertical="center"/>
    </xf>
    <xf numFmtId="0" fontId="15" fillId="2" borderId="66" xfId="0" applyFont="1" applyFill="1" applyBorder="1" applyAlignment="1">
      <alignment vertical="center" wrapText="1"/>
    </xf>
    <xf numFmtId="170" fontId="15" fillId="2" borderId="66" xfId="0" applyNumberFormat="1" applyFont="1" applyFill="1" applyBorder="1" applyAlignment="1">
      <alignment vertical="center"/>
    </xf>
    <xf numFmtId="170" fontId="172" fillId="3" borderId="67" xfId="0" applyNumberFormat="1" applyFont="1" applyFill="1" applyBorder="1" applyAlignment="1">
      <alignment horizontal="right" vertical="center"/>
    </xf>
    <xf numFmtId="0" fontId="15" fillId="2" borderId="71" xfId="0" applyFont="1" applyFill="1" applyBorder="1" applyAlignment="1">
      <alignment vertical="center" wrapText="1"/>
    </xf>
    <xf numFmtId="170" fontId="15" fillId="2" borderId="71" xfId="0" applyNumberFormat="1" applyFont="1" applyFill="1" applyBorder="1" applyAlignment="1">
      <alignment vertical="center"/>
    </xf>
    <xf numFmtId="170" fontId="172" fillId="3" borderId="72" xfId="0" applyNumberFormat="1" applyFont="1" applyFill="1" applyBorder="1" applyAlignment="1">
      <alignment horizontal="right" vertical="center"/>
    </xf>
    <xf numFmtId="169" fontId="15" fillId="2" borderId="66" xfId="0" applyNumberFormat="1" applyFont="1" applyFill="1" applyBorder="1" applyAlignment="1">
      <alignment vertical="center" wrapText="1"/>
    </xf>
    <xf numFmtId="169" fontId="15" fillId="2" borderId="66" xfId="0" applyNumberFormat="1" applyFont="1" applyFill="1" applyBorder="1" applyAlignment="1">
      <alignment vertical="center"/>
    </xf>
    <xf numFmtId="169" fontId="172" fillId="3" borderId="67" xfId="0" applyNumberFormat="1" applyFont="1" applyFill="1" applyBorder="1" applyAlignment="1">
      <alignment horizontal="right" vertical="center"/>
    </xf>
    <xf numFmtId="0" fontId="201" fillId="75" borderId="0" xfId="0" applyFont="1" applyFill="1" applyAlignment="1">
      <alignment horizontal="right" vertical="center" wrapText="1"/>
    </xf>
    <xf numFmtId="0" fontId="201" fillId="75" borderId="0" xfId="0" applyFont="1" applyFill="1" applyAlignment="1">
      <alignment horizontal="right" vertical="center"/>
    </xf>
    <xf numFmtId="0" fontId="201" fillId="75" borderId="9" xfId="0" applyFont="1" applyFill="1" applyBorder="1" applyAlignment="1">
      <alignment horizontal="right" vertical="center"/>
    </xf>
    <xf numFmtId="0" fontId="62" fillId="75" borderId="74" xfId="0" applyFont="1" applyFill="1" applyBorder="1" applyAlignment="1">
      <alignment vertical="center" wrapText="1"/>
    </xf>
    <xf numFmtId="0" fontId="62" fillId="75" borderId="75" xfId="0" applyFont="1" applyFill="1" applyBorder="1" applyAlignment="1">
      <alignment vertical="center" wrapText="1"/>
    </xf>
    <xf numFmtId="0" fontId="28" fillId="2" borderId="68" xfId="0" applyFont="1" applyFill="1" applyBorder="1"/>
    <xf numFmtId="0" fontId="28" fillId="0" borderId="68" xfId="0" applyFont="1" applyBorder="1"/>
    <xf numFmtId="0" fontId="62" fillId="75" borderId="77" xfId="0" applyFont="1" applyFill="1" applyBorder="1" applyAlignment="1">
      <alignment vertical="center" wrapText="1"/>
    </xf>
    <xf numFmtId="0" fontId="192" fillId="75" borderId="77" xfId="0" applyFont="1" applyFill="1" applyBorder="1" applyAlignment="1">
      <alignment horizontal="right" vertical="center"/>
    </xf>
    <xf numFmtId="0" fontId="192" fillId="75" borderId="69" xfId="0" applyFont="1" applyFill="1" applyBorder="1" applyAlignment="1">
      <alignment horizontal="right" vertical="center"/>
    </xf>
    <xf numFmtId="0" fontId="192" fillId="75" borderId="78" xfId="0" applyFont="1" applyFill="1" applyBorder="1" applyAlignment="1">
      <alignment horizontal="right" vertical="center"/>
    </xf>
    <xf numFmtId="0" fontId="192" fillId="75" borderId="78" xfId="0" applyFont="1" applyFill="1" applyBorder="1" applyAlignment="1">
      <alignment horizontal="right" vertical="center" wrapText="1"/>
    </xf>
    <xf numFmtId="0" fontId="194" fillId="75" borderId="69" xfId="0" applyFont="1" applyFill="1" applyBorder="1" applyAlignment="1">
      <alignment horizontal="right" vertical="center"/>
    </xf>
    <xf numFmtId="0" fontId="12" fillId="0" borderId="69" xfId="0" applyFont="1" applyBorder="1"/>
    <xf numFmtId="0" fontId="194" fillId="75" borderId="70" xfId="0" applyFont="1" applyFill="1" applyBorder="1" applyAlignment="1">
      <alignment vertical="center" wrapText="1"/>
    </xf>
    <xf numFmtId="0" fontId="194" fillId="75" borderId="79" xfId="0" applyFont="1" applyFill="1" applyBorder="1" applyAlignment="1">
      <alignment vertical="center" wrapText="1"/>
    </xf>
    <xf numFmtId="0" fontId="194" fillId="75" borderId="70" xfId="0" applyFont="1" applyFill="1" applyBorder="1" applyAlignment="1">
      <alignment horizontal="right" vertical="center" wrapText="1"/>
    </xf>
    <xf numFmtId="0" fontId="194" fillId="75" borderId="80" xfId="0" applyFont="1" applyFill="1" applyBorder="1" applyAlignment="1">
      <alignment horizontal="right" vertical="center"/>
    </xf>
    <xf numFmtId="0" fontId="12" fillId="0" borderId="70" xfId="0" applyFont="1" applyBorder="1"/>
    <xf numFmtId="0" fontId="215" fillId="2" borderId="0" xfId="0" applyFont="1" applyFill="1" applyAlignment="1">
      <alignment vertical="center"/>
    </xf>
    <xf numFmtId="0" fontId="9" fillId="0" borderId="0" xfId="0" applyFont="1"/>
    <xf numFmtId="0" fontId="191" fillId="75" borderId="81" xfId="0" applyFont="1" applyFill="1" applyBorder="1" applyAlignment="1">
      <alignment horizontal="left" vertical="center" wrapText="1"/>
    </xf>
    <xf numFmtId="0" fontId="192" fillId="79" borderId="82" xfId="0" applyFont="1" applyFill="1" applyBorder="1" applyAlignment="1">
      <alignment horizontal="right" vertical="center" wrapText="1"/>
    </xf>
    <xf numFmtId="0" fontId="191" fillId="75" borderId="81" xfId="0" applyFont="1" applyFill="1" applyBorder="1" applyAlignment="1">
      <alignment horizontal="right" vertical="center" wrapText="1"/>
    </xf>
    <xf numFmtId="182" fontId="192" fillId="79" borderId="82" xfId="0" applyNumberFormat="1" applyFont="1" applyFill="1" applyBorder="1" applyAlignment="1">
      <alignment horizontal="right" vertical="center" wrapText="1"/>
    </xf>
    <xf numFmtId="0" fontId="12" fillId="0" borderId="81" xfId="0" applyFont="1" applyBorder="1" applyAlignment="1">
      <alignment horizontal="center" vertical="center"/>
    </xf>
    <xf numFmtId="0" fontId="191" fillId="75" borderId="83" xfId="0" applyFont="1" applyFill="1" applyBorder="1" applyAlignment="1">
      <alignment horizontal="left" vertical="center" wrapText="1"/>
    </xf>
    <xf numFmtId="0" fontId="192" fillId="79" borderId="83" xfId="0" applyFont="1" applyFill="1" applyBorder="1" applyAlignment="1">
      <alignment horizontal="right" vertical="center" wrapText="1"/>
    </xf>
    <xf numFmtId="0" fontId="191" fillId="75" borderId="83" xfId="0" applyFont="1" applyFill="1" applyBorder="1" applyAlignment="1">
      <alignment horizontal="right" vertical="center" wrapText="1"/>
    </xf>
    <xf numFmtId="182" fontId="192" fillId="79" borderId="83" xfId="0" applyNumberFormat="1" applyFont="1" applyFill="1" applyBorder="1" applyAlignment="1">
      <alignment horizontal="right" vertical="center" wrapText="1"/>
    </xf>
    <xf numFmtId="0" fontId="12" fillId="0" borderId="84" xfId="0" applyFont="1" applyBorder="1" applyAlignment="1">
      <alignment horizontal="center" vertical="center"/>
    </xf>
    <xf numFmtId="0" fontId="12" fillId="0" borderId="0" xfId="0" applyFont="1" applyAlignment="1">
      <alignment horizontal="left" vertical="center"/>
    </xf>
    <xf numFmtId="169" fontId="31" fillId="80" borderId="0" xfId="2" applyNumberFormat="1" applyFont="1" applyFill="1" applyBorder="1" applyAlignment="1">
      <alignment horizontal="right" vertical="center"/>
    </xf>
    <xf numFmtId="169" fontId="12" fillId="0" borderId="0" xfId="2" applyNumberFormat="1" applyFont="1" applyFill="1" applyBorder="1" applyAlignment="1">
      <alignment horizontal="right" vertical="center"/>
    </xf>
    <xf numFmtId="0" fontId="12" fillId="0" borderId="0" xfId="0" applyFont="1" applyAlignment="1">
      <alignment horizontal="center" vertical="center"/>
    </xf>
    <xf numFmtId="167" fontId="31" fillId="80" borderId="0" xfId="2" applyNumberFormat="1" applyFont="1" applyFill="1" applyBorder="1" applyAlignment="1">
      <alignment horizontal="right" vertical="center"/>
    </xf>
    <xf numFmtId="167" fontId="12" fillId="0" borderId="0" xfId="2" applyNumberFormat="1" applyFont="1" applyFill="1" applyBorder="1" applyAlignment="1">
      <alignment horizontal="right" vertical="center"/>
    </xf>
    <xf numFmtId="49" fontId="218" fillId="0" borderId="0" xfId="0" applyNumberFormat="1" applyFont="1"/>
    <xf numFmtId="0" fontId="218" fillId="0" borderId="0" xfId="0" applyFont="1"/>
    <xf numFmtId="173" fontId="33" fillId="2" borderId="9" xfId="0" applyNumberFormat="1" applyFont="1" applyFill="1" applyBorder="1" applyAlignment="1">
      <alignment horizontal="right" vertical="center"/>
    </xf>
    <xf numFmtId="0" fontId="192" fillId="75" borderId="0" xfId="0" applyFont="1" applyFill="1" applyAlignment="1">
      <alignment horizontal="center" vertical="center" wrapText="1"/>
    </xf>
    <xf numFmtId="0" fontId="22" fillId="0" borderId="3" xfId="0" applyFont="1" applyBorder="1" applyAlignment="1">
      <alignment vertical="center" wrapText="1"/>
    </xf>
    <xf numFmtId="0" fontId="194" fillId="75" borderId="74" xfId="0" applyFont="1" applyFill="1" applyBorder="1" applyAlignment="1">
      <alignment vertical="center" wrapText="1"/>
    </xf>
    <xf numFmtId="0" fontId="192" fillId="75" borderId="69" xfId="0" applyFont="1" applyFill="1" applyBorder="1" applyAlignment="1">
      <alignment horizontal="center" vertical="center" wrapText="1"/>
    </xf>
    <xf numFmtId="0" fontId="12" fillId="0" borderId="69" xfId="0" applyFont="1" applyBorder="1" applyAlignment="1">
      <alignment vertical="center"/>
    </xf>
    <xf numFmtId="0" fontId="12" fillId="0" borderId="85" xfId="0" applyFont="1" applyBorder="1" applyAlignment="1">
      <alignment vertical="center"/>
    </xf>
    <xf numFmtId="169" fontId="31" fillId="80" borderId="85" xfId="2" applyNumberFormat="1" applyFont="1" applyFill="1" applyBorder="1" applyAlignment="1">
      <alignment horizontal="right" vertical="center"/>
    </xf>
    <xf numFmtId="169" fontId="12" fillId="0" borderId="85" xfId="2" applyNumberFormat="1" applyFont="1" applyFill="1" applyBorder="1" applyAlignment="1">
      <alignment horizontal="right" vertical="center"/>
    </xf>
    <xf numFmtId="215" fontId="33" fillId="0" borderId="9" xfId="0" applyNumberFormat="1" applyFont="1" applyBorder="1" applyAlignment="1">
      <alignment horizontal="right" vertical="center"/>
    </xf>
    <xf numFmtId="0" fontId="191" fillId="75" borderId="86" xfId="0" applyFont="1" applyFill="1" applyBorder="1" applyAlignment="1">
      <alignment horizontal="left" vertical="center" wrapText="1"/>
    </xf>
    <xf numFmtId="0" fontId="191" fillId="0" borderId="83" xfId="0" applyFont="1" applyBorder="1" applyAlignment="1">
      <alignment horizontal="right" vertical="center" wrapText="1"/>
    </xf>
    <xf numFmtId="182" fontId="192" fillId="0" borderId="83" xfId="0" applyNumberFormat="1" applyFont="1" applyBorder="1" applyAlignment="1">
      <alignment horizontal="right" vertical="center" wrapText="1"/>
    </xf>
    <xf numFmtId="169" fontId="46" fillId="84" borderId="57" xfId="0" applyNumberFormat="1" applyFont="1" applyFill="1" applyBorder="1" applyAlignment="1">
      <alignment vertical="center" wrapText="1"/>
    </xf>
    <xf numFmtId="10" fontId="46" fillId="84" borderId="57" xfId="0" applyNumberFormat="1" applyFont="1" applyFill="1" applyBorder="1" applyAlignment="1">
      <alignment vertical="center" wrapText="1"/>
    </xf>
    <xf numFmtId="10" fontId="45" fillId="84" borderId="60" xfId="0" applyNumberFormat="1" applyFont="1" applyFill="1" applyBorder="1" applyAlignment="1">
      <alignment vertical="center" wrapText="1"/>
    </xf>
    <xf numFmtId="10" fontId="45" fillId="84" borderId="9" xfId="0" applyNumberFormat="1" applyFont="1" applyFill="1" applyBorder="1" applyAlignment="1">
      <alignment vertical="center" wrapText="1"/>
    </xf>
    <xf numFmtId="10" fontId="45" fillId="84" borderId="13" xfId="0" applyNumberFormat="1" applyFont="1" applyFill="1" applyBorder="1" applyAlignment="1">
      <alignment vertical="center" wrapText="1"/>
    </xf>
    <xf numFmtId="169" fontId="46" fillId="84" borderId="9" xfId="0" applyNumberFormat="1" applyFont="1" applyFill="1" applyBorder="1" applyAlignment="1">
      <alignment vertical="center" wrapText="1"/>
    </xf>
    <xf numFmtId="3" fontId="45" fillId="84" borderId="52" xfId="0" applyNumberFormat="1" applyFont="1" applyFill="1" applyBorder="1" applyAlignment="1">
      <alignment vertical="center" wrapText="1"/>
    </xf>
    <xf numFmtId="3" fontId="46" fillId="84" borderId="57" xfId="0" applyNumberFormat="1" applyFont="1" applyFill="1" applyBorder="1" applyAlignment="1">
      <alignment vertical="center" wrapText="1"/>
    </xf>
    <xf numFmtId="170" fontId="212" fillId="84" borderId="50" xfId="0" applyNumberFormat="1" applyFont="1" applyFill="1" applyBorder="1" applyAlignment="1">
      <alignment vertical="center" wrapText="1"/>
    </xf>
    <xf numFmtId="170" fontId="51" fillId="84" borderId="9" xfId="0" applyNumberFormat="1" applyFont="1" applyFill="1" applyBorder="1" applyAlignment="1">
      <alignment vertical="center" wrapText="1"/>
    </xf>
    <xf numFmtId="170" fontId="51" fillId="84" borderId="13" xfId="0" applyNumberFormat="1" applyFont="1" applyFill="1" applyBorder="1" applyAlignment="1">
      <alignment vertical="center" wrapText="1"/>
    </xf>
    <xf numFmtId="170" fontId="172" fillId="84" borderId="50" xfId="0" applyNumberFormat="1" applyFont="1" applyFill="1" applyBorder="1" applyAlignment="1">
      <alignment vertical="center" wrapText="1"/>
    </xf>
    <xf numFmtId="3" fontId="172" fillId="84" borderId="50" xfId="0" applyNumberFormat="1" applyFont="1" applyFill="1" applyBorder="1" applyAlignment="1">
      <alignment vertical="center" wrapText="1"/>
    </xf>
    <xf numFmtId="3" fontId="51" fillId="84" borderId="9" xfId="0" applyNumberFormat="1" applyFont="1" applyFill="1" applyBorder="1" applyAlignment="1">
      <alignment vertical="center" wrapText="1"/>
    </xf>
    <xf numFmtId="3" fontId="51" fillId="84" borderId="13" xfId="0" applyNumberFormat="1" applyFont="1" applyFill="1" applyBorder="1" applyAlignment="1">
      <alignment vertical="center" wrapText="1"/>
    </xf>
    <xf numFmtId="3" fontId="213" fillId="84" borderId="50" xfId="0" applyNumberFormat="1" applyFont="1" applyFill="1" applyBorder="1" applyAlignment="1">
      <alignment vertical="center" wrapText="1"/>
    </xf>
    <xf numFmtId="0" fontId="50" fillId="2" borderId="0" xfId="0" applyFont="1" applyFill="1" applyAlignment="1">
      <alignment horizontal="left" vertical="center" wrapText="1" indent="3"/>
    </xf>
    <xf numFmtId="170" fontId="50" fillId="2" borderId="0" xfId="0" applyNumberFormat="1" applyFont="1" applyFill="1" applyAlignment="1">
      <alignment vertical="center"/>
    </xf>
    <xf numFmtId="170" fontId="31" fillId="3" borderId="9" xfId="0" applyNumberFormat="1" applyFont="1" applyFill="1" applyBorder="1" applyAlignment="1">
      <alignment horizontal="right" vertical="center"/>
    </xf>
    <xf numFmtId="0" fontId="50" fillId="2" borderId="0" xfId="0" applyFont="1" applyFill="1"/>
    <xf numFmtId="0" fontId="50" fillId="2" borderId="0" xfId="0" applyFont="1" applyFill="1" applyAlignment="1">
      <alignment horizontal="right" vertical="center" wrapText="1"/>
    </xf>
    <xf numFmtId="170" fontId="50" fillId="2" borderId="0" xfId="0" applyNumberFormat="1" applyFont="1" applyFill="1" applyAlignment="1">
      <alignment horizontal="right" vertical="center"/>
    </xf>
    <xf numFmtId="0" fontId="27" fillId="2" borderId="0" xfId="0" applyFont="1" applyFill="1" applyAlignment="1">
      <alignment horizontal="left" vertical="center" wrapText="1" indent="3"/>
    </xf>
    <xf numFmtId="170" fontId="27" fillId="2" borderId="0" xfId="0" applyNumberFormat="1" applyFont="1" applyFill="1" applyAlignment="1">
      <alignment vertical="center"/>
    </xf>
    <xf numFmtId="0" fontId="24" fillId="2" borderId="0" xfId="0" applyFont="1" applyFill="1" applyAlignment="1">
      <alignment vertical="center"/>
    </xf>
    <xf numFmtId="0" fontId="24" fillId="0" borderId="0" xfId="0" applyFont="1" applyAlignment="1">
      <alignment vertical="center"/>
    </xf>
    <xf numFmtId="170" fontId="177" fillId="80" borderId="0" xfId="0" applyNumberFormat="1" applyFont="1" applyFill="1" applyAlignment="1">
      <alignment vertical="center" wrapText="1"/>
    </xf>
    <xf numFmtId="0" fontId="27" fillId="2" borderId="0" xfId="0" applyFont="1" applyFill="1" applyAlignment="1">
      <alignment vertical="center"/>
    </xf>
    <xf numFmtId="0" fontId="27" fillId="0" borderId="0" xfId="0" applyFont="1" applyAlignment="1">
      <alignment vertical="center"/>
    </xf>
    <xf numFmtId="184" fontId="27" fillId="2" borderId="0" xfId="0" applyNumberFormat="1" applyFont="1" applyFill="1" applyAlignment="1">
      <alignment vertical="center"/>
    </xf>
    <xf numFmtId="184" fontId="31" fillId="3" borderId="9" xfId="0" applyNumberFormat="1" applyFont="1" applyFill="1" applyBorder="1" applyAlignment="1">
      <alignment horizontal="right" vertical="center"/>
    </xf>
    <xf numFmtId="0" fontId="220" fillId="0" borderId="0" xfId="0" applyFont="1" applyAlignment="1">
      <alignment horizontal="right" vertical="center"/>
    </xf>
    <xf numFmtId="0" fontId="180" fillId="0" borderId="0" xfId="0" applyFont="1"/>
    <xf numFmtId="170" fontId="50" fillId="0" borderId="0" xfId="0" applyNumberFormat="1" applyFont="1" applyAlignment="1">
      <alignment vertical="center"/>
    </xf>
    <xf numFmtId="170" fontId="50" fillId="0" borderId="0" xfId="0" applyNumberFormat="1" applyFont="1" applyAlignment="1">
      <alignment horizontal="right" vertical="center"/>
    </xf>
    <xf numFmtId="0" fontId="191" fillId="75" borderId="88" xfId="0" applyFont="1" applyFill="1" applyBorder="1" applyAlignment="1">
      <alignment horizontal="left" vertical="center" wrapText="1"/>
    </xf>
    <xf numFmtId="0" fontId="15" fillId="2" borderId="89" xfId="0" applyFont="1" applyFill="1" applyBorder="1" applyAlignment="1">
      <alignment vertical="center" wrapText="1"/>
    </xf>
    <xf numFmtId="0" fontId="27" fillId="2" borderId="90" xfId="0" applyFont="1" applyFill="1" applyBorder="1" applyAlignment="1">
      <alignment horizontal="left" vertical="center" wrapText="1" indent="4"/>
    </xf>
    <xf numFmtId="0" fontId="15" fillId="2" borderId="91" xfId="0" applyFont="1" applyFill="1" applyBorder="1" applyAlignment="1">
      <alignment vertical="center" wrapText="1"/>
    </xf>
    <xf numFmtId="0" fontId="50" fillId="2" borderId="90" xfId="0" applyFont="1" applyFill="1" applyBorder="1" applyAlignment="1">
      <alignment horizontal="left" vertical="center" wrapText="1" indent="4"/>
    </xf>
    <xf numFmtId="169" fontId="15" fillId="2" borderId="91" xfId="0" applyNumberFormat="1" applyFont="1" applyFill="1" applyBorder="1" applyAlignment="1">
      <alignment vertical="center" wrapText="1"/>
    </xf>
    <xf numFmtId="170" fontId="46" fillId="80" borderId="71" xfId="0" applyNumberFormat="1" applyFont="1" applyFill="1" applyBorder="1" applyAlignment="1">
      <alignment vertical="center" wrapText="1"/>
    </xf>
    <xf numFmtId="170" fontId="46" fillId="80" borderId="66" xfId="0" applyNumberFormat="1" applyFont="1" applyFill="1" applyBorder="1" applyAlignment="1">
      <alignment vertical="center" wrapText="1"/>
    </xf>
    <xf numFmtId="169" fontId="46" fillId="80" borderId="66" xfId="0" applyNumberFormat="1" applyFont="1" applyFill="1" applyBorder="1" applyAlignment="1">
      <alignment vertical="center" wrapText="1"/>
    </xf>
    <xf numFmtId="0" fontId="192" fillId="75" borderId="94" xfId="0" applyFont="1" applyFill="1" applyBorder="1" applyAlignment="1">
      <alignment horizontal="right" vertical="center"/>
    </xf>
    <xf numFmtId="170" fontId="15" fillId="2" borderId="95" xfId="0" applyNumberFormat="1" applyFont="1" applyFill="1" applyBorder="1" applyAlignment="1">
      <alignment vertical="center"/>
    </xf>
    <xf numFmtId="170" fontId="46" fillId="80" borderId="96" xfId="0" applyNumberFormat="1" applyFont="1" applyFill="1" applyBorder="1" applyAlignment="1">
      <alignment vertical="center" wrapText="1"/>
    </xf>
    <xf numFmtId="170" fontId="27" fillId="2" borderId="97" xfId="0" applyNumberFormat="1" applyFont="1" applyFill="1" applyBorder="1" applyAlignment="1">
      <alignment vertical="center"/>
    </xf>
    <xf numFmtId="170" fontId="177" fillId="80" borderId="92" xfId="0" applyNumberFormat="1" applyFont="1" applyFill="1" applyBorder="1" applyAlignment="1">
      <alignment vertical="center" wrapText="1"/>
    </xf>
    <xf numFmtId="184" fontId="27" fillId="2" borderId="97" xfId="0" applyNumberFormat="1" applyFont="1" applyFill="1" applyBorder="1" applyAlignment="1">
      <alignment vertical="center"/>
    </xf>
    <xf numFmtId="170" fontId="15" fillId="2" borderId="98" xfId="0" applyNumberFormat="1" applyFont="1" applyFill="1" applyBorder="1" applyAlignment="1">
      <alignment vertical="center"/>
    </xf>
    <xf numFmtId="170" fontId="46" fillId="80" borderId="99" xfId="0" applyNumberFormat="1" applyFont="1" applyFill="1" applyBorder="1" applyAlignment="1">
      <alignment vertical="center" wrapText="1"/>
    </xf>
    <xf numFmtId="170" fontId="50" fillId="2" borderId="97" xfId="0" applyNumberFormat="1" applyFont="1" applyFill="1" applyBorder="1" applyAlignment="1">
      <alignment vertical="center"/>
    </xf>
    <xf numFmtId="170" fontId="50" fillId="2" borderId="97" xfId="0" applyNumberFormat="1" applyFont="1" applyFill="1" applyBorder="1" applyAlignment="1">
      <alignment horizontal="right" vertical="center"/>
    </xf>
    <xf numFmtId="169" fontId="15" fillId="2" borderId="98" xfId="0" applyNumberFormat="1" applyFont="1" applyFill="1" applyBorder="1" applyAlignment="1">
      <alignment vertical="center"/>
    </xf>
    <xf numFmtId="169" fontId="46" fillId="80" borderId="99" xfId="0" applyNumberFormat="1" applyFont="1" applyFill="1" applyBorder="1" applyAlignment="1">
      <alignment vertical="center" wrapText="1"/>
    </xf>
    <xf numFmtId="173" fontId="177" fillId="80" borderId="92" xfId="0" applyNumberFormat="1" applyFont="1" applyFill="1" applyBorder="1" applyAlignment="1">
      <alignment vertical="center" wrapText="1"/>
    </xf>
    <xf numFmtId="0" fontId="15" fillId="2" borderId="93" xfId="0" applyFont="1" applyFill="1" applyBorder="1" applyAlignment="1">
      <alignment vertical="center" wrapText="1"/>
    </xf>
    <xf numFmtId="0" fontId="27" fillId="2" borderId="100" xfId="0" applyFont="1" applyFill="1" applyBorder="1" applyAlignment="1">
      <alignment horizontal="left" vertical="center" wrapText="1" indent="3"/>
    </xf>
    <xf numFmtId="0" fontId="15" fillId="2" borderId="101" xfId="0" applyFont="1" applyFill="1" applyBorder="1" applyAlignment="1">
      <alignment vertical="center" wrapText="1"/>
    </xf>
    <xf numFmtId="0" fontId="50" fillId="2" borderId="100" xfId="0" applyFont="1" applyFill="1" applyBorder="1" applyAlignment="1">
      <alignment horizontal="left" vertical="center" wrapText="1" indent="3"/>
    </xf>
    <xf numFmtId="169" fontId="15" fillId="2" borderId="101" xfId="0" applyNumberFormat="1" applyFont="1" applyFill="1" applyBorder="1" applyAlignment="1">
      <alignment vertical="center" wrapText="1"/>
    </xf>
    <xf numFmtId="0" fontId="192" fillId="75" borderId="87" xfId="0" applyFont="1" applyFill="1" applyBorder="1" applyAlignment="1">
      <alignment horizontal="right" vertical="center"/>
    </xf>
    <xf numFmtId="182" fontId="177" fillId="80" borderId="92" xfId="0" applyNumberFormat="1" applyFont="1" applyFill="1" applyBorder="1" applyAlignment="1">
      <alignment vertical="center" wrapText="1"/>
    </xf>
    <xf numFmtId="169" fontId="46" fillId="80" borderId="99" xfId="7" applyNumberFormat="1" applyFont="1" applyFill="1" applyBorder="1" applyAlignment="1">
      <alignment vertical="center" wrapText="1"/>
    </xf>
    <xf numFmtId="0" fontId="21" fillId="2" borderId="0" xfId="20233" applyFont="1" applyFill="1" applyAlignment="1">
      <alignment vertical="center"/>
    </xf>
    <xf numFmtId="0" fontId="28" fillId="2" borderId="0" xfId="20233" applyFont="1" applyFill="1" applyAlignment="1">
      <alignment vertical="center"/>
    </xf>
    <xf numFmtId="0" fontId="28" fillId="0" borderId="0" xfId="20233" applyFont="1" applyAlignment="1">
      <alignment vertical="center"/>
    </xf>
    <xf numFmtId="4" fontId="9" fillId="2" borderId="0" xfId="20233" applyNumberFormat="1" applyFont="1" applyFill="1" applyAlignment="1">
      <alignment vertical="center"/>
    </xf>
    <xf numFmtId="0" fontId="9" fillId="2" borderId="0" xfId="20233" applyFont="1" applyFill="1" applyAlignment="1">
      <alignment vertical="center"/>
    </xf>
    <xf numFmtId="0" fontId="194" fillId="75" borderId="102" xfId="20233" applyFont="1" applyFill="1" applyBorder="1" applyAlignment="1">
      <alignment vertical="center" wrapText="1"/>
    </xf>
    <xf numFmtId="0" fontId="210" fillId="0" borderId="0" xfId="20233" applyFont="1" applyAlignment="1">
      <alignment vertical="center"/>
    </xf>
    <xf numFmtId="0" fontId="194" fillId="75" borderId="0" xfId="20233" applyFont="1" applyFill="1" applyAlignment="1">
      <alignment horizontal="center" vertical="center"/>
    </xf>
    <xf numFmtId="0" fontId="194" fillId="75" borderId="103" xfId="20233" applyFont="1" applyFill="1" applyBorder="1" applyAlignment="1">
      <alignment horizontal="center" vertical="center"/>
    </xf>
    <xf numFmtId="0" fontId="194" fillId="75" borderId="104" xfId="20233" applyFont="1" applyFill="1" applyBorder="1" applyAlignment="1">
      <alignment horizontal="center" vertical="center"/>
    </xf>
    <xf numFmtId="0" fontId="194" fillId="85" borderId="102" xfId="20233" applyFont="1" applyFill="1" applyBorder="1" applyAlignment="1">
      <alignment vertical="center" wrapText="1"/>
    </xf>
    <xf numFmtId="169" fontId="221" fillId="85" borderId="0" xfId="29659" applyNumberFormat="1" applyFont="1" applyFill="1" applyBorder="1" applyAlignment="1">
      <alignment horizontal="right" vertical="center" wrapText="1"/>
    </xf>
    <xf numFmtId="169" fontId="221" fillId="85" borderId="103" xfId="29659" applyNumberFormat="1" applyFont="1" applyFill="1" applyBorder="1" applyAlignment="1">
      <alignment horizontal="right" vertical="center" wrapText="1"/>
    </xf>
    <xf numFmtId="169" fontId="221" fillId="85" borderId="106" xfId="29659" applyNumberFormat="1" applyFont="1" applyFill="1" applyBorder="1" applyAlignment="1">
      <alignment horizontal="right" vertical="center" wrapText="1"/>
    </xf>
    <xf numFmtId="0" fontId="222" fillId="2" borderId="0" xfId="20233" applyFont="1" applyFill="1" applyAlignment="1">
      <alignment vertical="center"/>
    </xf>
    <xf numFmtId="0" fontId="18" fillId="0" borderId="102" xfId="20233" applyFont="1" applyBorder="1" applyAlignment="1">
      <alignment horizontal="left" vertical="center" wrapText="1"/>
    </xf>
    <xf numFmtId="0" fontId="18" fillId="0" borderId="102" xfId="20233" applyFont="1" applyBorder="1" applyAlignment="1">
      <alignment horizontal="left" vertical="center"/>
    </xf>
    <xf numFmtId="3" fontId="37" fillId="0" borderId="0" xfId="20233" applyNumberFormat="1" applyFont="1" applyAlignment="1">
      <alignment horizontal="right" vertical="center" wrapText="1"/>
    </xf>
    <xf numFmtId="3" fontId="37" fillId="0" borderId="103" xfId="20233" applyNumberFormat="1" applyFont="1" applyBorder="1" applyAlignment="1">
      <alignment horizontal="right" vertical="center" wrapText="1"/>
    </xf>
    <xf numFmtId="3" fontId="37" fillId="0" borderId="106" xfId="20233" applyNumberFormat="1" applyFont="1" applyBorder="1" applyAlignment="1">
      <alignment horizontal="right" vertical="center" wrapText="1"/>
    </xf>
    <xf numFmtId="3" fontId="9" fillId="0" borderId="0" xfId="20233" applyNumberFormat="1" applyFont="1" applyAlignment="1">
      <alignment vertical="center"/>
    </xf>
    <xf numFmtId="0" fontId="9" fillId="0" borderId="0" xfId="20233" applyFont="1" applyAlignment="1">
      <alignment vertical="center"/>
    </xf>
    <xf numFmtId="0" fontId="38" fillId="0" borderId="102" xfId="20233" applyFont="1" applyBorder="1" applyAlignment="1">
      <alignment horizontal="left" vertical="center" wrapText="1" indent="1"/>
    </xf>
    <xf numFmtId="216" fontId="9" fillId="0" borderId="0" xfId="42855" applyNumberFormat="1" applyFont="1" applyFill="1" applyBorder="1" applyAlignment="1">
      <alignment vertical="center"/>
    </xf>
    <xf numFmtId="216" fontId="9" fillId="0" borderId="106" xfId="42855" applyNumberFormat="1" applyFont="1" applyFill="1" applyBorder="1" applyAlignment="1">
      <alignment vertical="center"/>
    </xf>
    <xf numFmtId="216" fontId="9" fillId="0" borderId="105" xfId="42855" applyNumberFormat="1" applyFont="1" applyFill="1" applyBorder="1" applyAlignment="1">
      <alignment vertical="center"/>
    </xf>
    <xf numFmtId="0" fontId="223" fillId="0" borderId="0" xfId="20233" applyFont="1" applyAlignment="1">
      <alignment vertical="center"/>
    </xf>
    <xf numFmtId="170" fontId="38" fillId="0" borderId="102" xfId="20233" applyNumberFormat="1" applyFont="1" applyBorder="1" applyAlignment="1">
      <alignment horizontal="left" vertical="center" wrapText="1"/>
    </xf>
    <xf numFmtId="170" fontId="38" fillId="0" borderId="102" xfId="20233" applyNumberFormat="1" applyFont="1" applyBorder="1" applyAlignment="1">
      <alignment horizontal="left" vertical="center"/>
    </xf>
    <xf numFmtId="170" fontId="20" fillId="0" borderId="0" xfId="20233" applyNumberFormat="1" applyFont="1" applyAlignment="1">
      <alignment horizontal="right" vertical="center" wrapText="1"/>
    </xf>
    <xf numFmtId="170" fontId="20" fillId="0" borderId="103" xfId="20233" applyNumberFormat="1" applyFont="1" applyBorder="1" applyAlignment="1">
      <alignment horizontal="right" vertical="center" wrapText="1"/>
    </xf>
    <xf numFmtId="170" fontId="20" fillId="0" borderId="106" xfId="20233" applyNumberFormat="1" applyFont="1" applyBorder="1" applyAlignment="1">
      <alignment horizontal="right" vertical="center" wrapText="1"/>
    </xf>
    <xf numFmtId="170" fontId="9" fillId="0" borderId="0" xfId="20233" applyNumberFormat="1" applyFont="1" applyAlignment="1">
      <alignment vertical="center"/>
    </xf>
    <xf numFmtId="0" fontId="38" fillId="0" borderId="102" xfId="20233" applyFont="1" applyBorder="1" applyAlignment="1">
      <alignment horizontal="left" vertical="center" wrapText="1"/>
    </xf>
    <xf numFmtId="169" fontId="20" fillId="0" borderId="0" xfId="20233" applyNumberFormat="1" applyFont="1" applyAlignment="1">
      <alignment horizontal="right" vertical="center" wrapText="1"/>
    </xf>
    <xf numFmtId="169" fontId="20" fillId="0" borderId="103" xfId="20233" applyNumberFormat="1" applyFont="1" applyBorder="1" applyAlignment="1">
      <alignment horizontal="right" vertical="center" wrapText="1"/>
    </xf>
    <xf numFmtId="169" fontId="20" fillId="0" borderId="106" xfId="20233" applyNumberFormat="1" applyFont="1" applyBorder="1" applyAlignment="1">
      <alignment horizontal="right" vertical="center" wrapText="1"/>
    </xf>
    <xf numFmtId="2" fontId="20" fillId="0" borderId="0" xfId="20233" applyNumberFormat="1" applyFont="1" applyAlignment="1">
      <alignment horizontal="right" vertical="center" wrapText="1"/>
    </xf>
    <xf numFmtId="2" fontId="20" fillId="0" borderId="103" xfId="20233" applyNumberFormat="1" applyFont="1" applyBorder="1" applyAlignment="1">
      <alignment horizontal="right" vertical="center" wrapText="1"/>
    </xf>
    <xf numFmtId="2" fontId="20" fillId="0" borderId="106" xfId="20233" applyNumberFormat="1" applyFont="1" applyBorder="1" applyAlignment="1">
      <alignment horizontal="right" vertical="center" wrapText="1"/>
    </xf>
    <xf numFmtId="3" fontId="18" fillId="0" borderId="102" xfId="20233" applyNumberFormat="1" applyFont="1" applyBorder="1" applyAlignment="1">
      <alignment horizontal="left" vertical="center" wrapText="1"/>
    </xf>
    <xf numFmtId="3" fontId="18" fillId="0" borderId="102" xfId="20233" applyNumberFormat="1" applyFont="1" applyBorder="1" applyAlignment="1">
      <alignment horizontal="left" vertical="center"/>
    </xf>
    <xf numFmtId="3" fontId="38" fillId="0" borderId="102" xfId="20233" applyNumberFormat="1" applyFont="1" applyBorder="1" applyAlignment="1">
      <alignment horizontal="left" vertical="center" wrapText="1" indent="1"/>
    </xf>
    <xf numFmtId="3" fontId="20" fillId="0" borderId="0" xfId="20233" applyNumberFormat="1" applyFont="1" applyAlignment="1">
      <alignment horizontal="right" vertical="center" wrapText="1"/>
    </xf>
    <xf numFmtId="3" fontId="20" fillId="0" borderId="103" xfId="20233" applyNumberFormat="1" applyFont="1" applyBorder="1" applyAlignment="1">
      <alignment horizontal="right" vertical="center" wrapText="1"/>
    </xf>
    <xf numFmtId="3" fontId="20" fillId="0" borderId="106" xfId="20233" applyNumberFormat="1" applyFont="1" applyBorder="1" applyAlignment="1">
      <alignment horizontal="right" vertical="center" wrapText="1"/>
    </xf>
    <xf numFmtId="170" fontId="20" fillId="0" borderId="107" xfId="20233" applyNumberFormat="1" applyFont="1" applyBorder="1" applyAlignment="1">
      <alignment horizontal="left" vertical="center" wrapText="1"/>
    </xf>
    <xf numFmtId="170" fontId="38" fillId="0" borderId="107" xfId="20233" applyNumberFormat="1" applyFont="1" applyBorder="1" applyAlignment="1">
      <alignment horizontal="left" vertical="center"/>
    </xf>
    <xf numFmtId="170" fontId="20" fillId="0" borderId="108" xfId="20233" applyNumberFormat="1" applyFont="1" applyBorder="1" applyAlignment="1">
      <alignment horizontal="right" vertical="center" wrapText="1"/>
    </xf>
    <xf numFmtId="170" fontId="20" fillId="0" borderId="109" xfId="20233" applyNumberFormat="1" applyFont="1" applyBorder="1" applyAlignment="1">
      <alignment horizontal="right" vertical="center" wrapText="1"/>
    </xf>
    <xf numFmtId="170" fontId="20" fillId="0" borderId="110" xfId="20233" applyNumberFormat="1" applyFont="1" applyBorder="1" applyAlignment="1">
      <alignment horizontal="right" vertical="center" wrapText="1"/>
    </xf>
    <xf numFmtId="170" fontId="38" fillId="0" borderId="111" xfId="20233" applyNumberFormat="1" applyFont="1" applyBorder="1" applyAlignment="1">
      <alignment horizontal="left" vertical="center" wrapText="1"/>
    </xf>
    <xf numFmtId="170" fontId="38" fillId="0" borderId="111" xfId="20233" applyNumberFormat="1" applyFont="1" applyBorder="1" applyAlignment="1">
      <alignment horizontal="left" vertical="center"/>
    </xf>
    <xf numFmtId="3" fontId="20" fillId="0" borderId="112" xfId="20233" applyNumberFormat="1" applyFont="1" applyBorder="1" applyAlignment="1">
      <alignment horizontal="right" vertical="center" wrapText="1"/>
    </xf>
    <xf numFmtId="3" fontId="20" fillId="0" borderId="113" xfId="20233" applyNumberFormat="1" applyFont="1" applyBorder="1" applyAlignment="1">
      <alignment horizontal="right" vertical="center" wrapText="1"/>
    </xf>
    <xf numFmtId="3" fontId="20" fillId="0" borderId="114" xfId="20233" applyNumberFormat="1" applyFont="1" applyBorder="1" applyAlignment="1">
      <alignment horizontal="right" vertical="center" wrapText="1"/>
    </xf>
    <xf numFmtId="0" fontId="48" fillId="0" borderId="0" xfId="20233" applyFont="1" applyAlignment="1">
      <alignment horizontal="left" vertical="top" wrapText="1"/>
    </xf>
    <xf numFmtId="0" fontId="9" fillId="0" borderId="0" xfId="20233" applyFont="1" applyAlignment="1">
      <alignment horizontal="left" vertical="top" wrapText="1"/>
    </xf>
    <xf numFmtId="170" fontId="9" fillId="0" borderId="0" xfId="20233" applyNumberFormat="1" applyFont="1" applyAlignment="1">
      <alignment vertical="top"/>
    </xf>
    <xf numFmtId="0" fontId="9" fillId="0" borderId="0" xfId="20233" applyFont="1" applyAlignment="1">
      <alignment vertical="top"/>
    </xf>
    <xf numFmtId="3" fontId="9" fillId="0" borderId="0" xfId="26619" applyNumberFormat="1" applyFont="1" applyFill="1" applyBorder="1" applyAlignment="1">
      <alignment vertical="center"/>
    </xf>
    <xf numFmtId="0" fontId="48" fillId="0" borderId="0" xfId="20233" applyFont="1" applyAlignment="1">
      <alignment vertical="top" wrapText="1"/>
    </xf>
    <xf numFmtId="0" fontId="225" fillId="0" borderId="0" xfId="20233" applyFont="1" applyAlignment="1">
      <alignment horizontal="left" vertical="top" wrapText="1"/>
    </xf>
    <xf numFmtId="0" fontId="182" fillId="2" borderId="51" xfId="0" applyFont="1" applyFill="1" applyBorder="1" applyAlignment="1">
      <alignment vertical="center" wrapText="1"/>
    </xf>
    <xf numFmtId="3" fontId="49" fillId="0" borderId="52" xfId="0" applyNumberFormat="1" applyFont="1" applyBorder="1" applyAlignment="1">
      <alignment horizontal="right" vertical="center" wrapText="1"/>
    </xf>
    <xf numFmtId="217" fontId="31" fillId="2" borderId="9" xfId="0" applyNumberFormat="1" applyFont="1" applyFill="1" applyBorder="1" applyAlignment="1">
      <alignment horizontal="right" vertical="center"/>
    </xf>
    <xf numFmtId="181" fontId="33" fillId="2" borderId="9" xfId="0" applyNumberFormat="1" applyFont="1" applyFill="1" applyBorder="1" applyAlignment="1">
      <alignment vertical="center"/>
    </xf>
    <xf numFmtId="181" fontId="33" fillId="0" borderId="9" xfId="0" applyNumberFormat="1" applyFont="1" applyBorder="1" applyAlignment="1">
      <alignment vertical="center"/>
    </xf>
    <xf numFmtId="0" fontId="192" fillId="75" borderId="97" xfId="0" applyFont="1" applyFill="1" applyBorder="1" applyAlignment="1">
      <alignment horizontal="center" vertical="center" wrapText="1"/>
    </xf>
    <xf numFmtId="0" fontId="192" fillId="75" borderId="92" xfId="0" applyFont="1" applyFill="1" applyBorder="1" applyAlignment="1">
      <alignment horizontal="center" vertical="center" wrapText="1"/>
    </xf>
    <xf numFmtId="0" fontId="192" fillId="75" borderId="115" xfId="0" applyFont="1" applyFill="1" applyBorder="1" applyAlignment="1">
      <alignment horizontal="center" vertical="center" wrapText="1"/>
    </xf>
    <xf numFmtId="0" fontId="192" fillId="75" borderId="116" xfId="0" applyFont="1" applyFill="1" applyBorder="1" applyAlignment="1">
      <alignment horizontal="center" vertical="center" wrapText="1"/>
    </xf>
    <xf numFmtId="182" fontId="23" fillId="0" borderId="97" xfId="0" applyNumberFormat="1" applyFont="1" applyBorder="1" applyAlignment="1">
      <alignment vertical="center"/>
    </xf>
    <xf numFmtId="182" fontId="23" fillId="0" borderId="92" xfId="0" applyNumberFormat="1" applyFont="1" applyBorder="1" applyAlignment="1">
      <alignment vertical="center"/>
    </xf>
    <xf numFmtId="182" fontId="23" fillId="0" borderId="98" xfId="0" applyNumberFormat="1" applyFont="1" applyBorder="1" applyAlignment="1">
      <alignment vertical="center"/>
    </xf>
    <xf numFmtId="182" fontId="23" fillId="0" borderId="99" xfId="0" applyNumberFormat="1" applyFont="1" applyBorder="1" applyAlignment="1">
      <alignment vertical="center"/>
    </xf>
    <xf numFmtId="182" fontId="12" fillId="0" borderId="97" xfId="0" applyNumberFormat="1" applyFont="1" applyBorder="1" applyAlignment="1">
      <alignment vertical="center"/>
    </xf>
    <xf numFmtId="182" fontId="12" fillId="0" borderId="92" xfId="0" applyNumberFormat="1" applyFont="1" applyBorder="1" applyAlignment="1">
      <alignment vertical="center"/>
    </xf>
    <xf numFmtId="182" fontId="25" fillId="0" borderId="97" xfId="0" applyNumberFormat="1" applyFont="1" applyBorder="1" applyAlignment="1">
      <alignment horizontal="right" vertical="center"/>
    </xf>
    <xf numFmtId="182" fontId="25" fillId="0" borderId="92" xfId="0" applyNumberFormat="1" applyFont="1" applyBorder="1" applyAlignment="1">
      <alignment horizontal="right" vertical="center"/>
    </xf>
    <xf numFmtId="182" fontId="12" fillId="0" borderId="92" xfId="0" applyNumberFormat="1" applyFont="1" applyBorder="1" applyAlignment="1">
      <alignment horizontal="right" vertical="center"/>
    </xf>
    <xf numFmtId="177" fontId="191" fillId="83" borderId="97" xfId="0" applyNumberFormat="1" applyFont="1" applyFill="1" applyBorder="1" applyAlignment="1">
      <alignment vertical="center"/>
    </xf>
    <xf numFmtId="177" fontId="191" fillId="83" borderId="92" xfId="0" applyNumberFormat="1" applyFont="1" applyFill="1" applyBorder="1" applyAlignment="1">
      <alignment vertical="center"/>
    </xf>
    <xf numFmtId="182" fontId="31" fillId="0" borderId="97" xfId="0" applyNumberFormat="1" applyFont="1" applyBorder="1" applyAlignment="1">
      <alignment vertical="center"/>
    </xf>
    <xf numFmtId="182" fontId="31" fillId="0" borderId="92" xfId="0" applyNumberFormat="1" applyFont="1" applyBorder="1" applyAlignment="1">
      <alignment vertical="center"/>
    </xf>
    <xf numFmtId="0" fontId="174" fillId="0" borderId="0" xfId="0" applyFont="1"/>
    <xf numFmtId="167" fontId="174" fillId="0" borderId="0" xfId="0" applyNumberFormat="1" applyFont="1"/>
    <xf numFmtId="182" fontId="23" fillId="0" borderId="117" xfId="0" applyNumberFormat="1" applyFont="1" applyBorder="1" applyAlignment="1">
      <alignment vertical="center"/>
    </xf>
    <xf numFmtId="182" fontId="23" fillId="0" borderId="118" xfId="0" applyNumberFormat="1" applyFont="1" applyBorder="1" applyAlignment="1">
      <alignment vertical="center"/>
    </xf>
    <xf numFmtId="0" fontId="194" fillId="75" borderId="100" xfId="0" applyFont="1" applyFill="1" applyBorder="1" applyAlignment="1">
      <alignment vertical="center" wrapText="1"/>
    </xf>
    <xf numFmtId="0" fontId="194" fillId="75" borderId="119" xfId="0" applyFont="1" applyFill="1" applyBorder="1" applyAlignment="1">
      <alignment vertical="center" wrapText="1"/>
    </xf>
    <xf numFmtId="0" fontId="22" fillId="0" borderId="100" xfId="0" applyFont="1" applyBorder="1" applyAlignment="1">
      <alignment vertical="center" wrapText="1"/>
    </xf>
    <xf numFmtId="0" fontId="22" fillId="0" borderId="101" xfId="0" applyFont="1" applyBorder="1" applyAlignment="1">
      <alignment vertical="center" wrapText="1"/>
    </xf>
    <xf numFmtId="0" fontId="12" fillId="0" borderId="100" xfId="0" applyFont="1" applyBorder="1" applyAlignment="1">
      <alignment vertical="center" wrapText="1"/>
    </xf>
    <xf numFmtId="0" fontId="31" fillId="0" borderId="100" xfId="0" applyFont="1" applyBorder="1" applyAlignment="1">
      <alignment vertical="center" wrapText="1"/>
    </xf>
    <xf numFmtId="0" fontId="191" fillId="83" borderId="100" xfId="0" applyFont="1" applyFill="1" applyBorder="1" applyAlignment="1">
      <alignment vertical="center" wrapText="1"/>
    </xf>
    <xf numFmtId="0" fontId="23" fillId="0" borderId="120" xfId="0" applyFont="1" applyBorder="1" applyAlignment="1">
      <alignment vertical="center" wrapText="1"/>
    </xf>
    <xf numFmtId="183" fontId="12" fillId="0" borderId="97" xfId="0" applyNumberFormat="1" applyFont="1" applyBorder="1" applyAlignment="1">
      <alignment vertical="center"/>
    </xf>
    <xf numFmtId="183" fontId="12" fillId="0" borderId="92" xfId="0" applyNumberFormat="1" applyFont="1" applyBorder="1" applyAlignment="1">
      <alignment vertical="center"/>
    </xf>
    <xf numFmtId="183" fontId="31" fillId="0" borderId="97" xfId="0" applyNumberFormat="1" applyFont="1" applyBorder="1" applyAlignment="1">
      <alignment vertical="center"/>
    </xf>
    <xf numFmtId="183" fontId="31" fillId="0" borderId="92" xfId="0" applyNumberFormat="1" applyFont="1" applyBorder="1" applyAlignment="1">
      <alignment vertical="center"/>
    </xf>
    <xf numFmtId="169" fontId="221" fillId="85" borderId="104" xfId="29659" applyNumberFormat="1" applyFont="1" applyFill="1" applyBorder="1" applyAlignment="1">
      <alignment horizontal="right" vertical="center" wrapText="1"/>
    </xf>
    <xf numFmtId="3" fontId="37" fillId="0" borderId="104" xfId="20233" applyNumberFormat="1" applyFont="1" applyBorder="1" applyAlignment="1">
      <alignment horizontal="right" vertical="center" wrapText="1"/>
    </xf>
    <xf numFmtId="216" fontId="9" fillId="0" borderId="104" xfId="42855" applyNumberFormat="1" applyFont="1" applyFill="1" applyBorder="1" applyAlignment="1">
      <alignment vertical="center"/>
    </xf>
    <xf numFmtId="170" fontId="20" fillId="0" borderId="104" xfId="20233" applyNumberFormat="1" applyFont="1" applyBorder="1" applyAlignment="1">
      <alignment horizontal="right" vertical="center" wrapText="1"/>
    </xf>
    <xf numFmtId="169" fontId="20" fillId="0" borderId="104" xfId="20233" applyNumberFormat="1" applyFont="1" applyBorder="1" applyAlignment="1">
      <alignment horizontal="right" vertical="center" wrapText="1"/>
    </xf>
    <xf numFmtId="2" fontId="20" fillId="0" borderId="104" xfId="20233" applyNumberFormat="1" applyFont="1" applyBorder="1" applyAlignment="1">
      <alignment horizontal="right" vertical="center" wrapText="1"/>
    </xf>
    <xf numFmtId="3" fontId="20" fillId="0" borderId="104" xfId="20233" applyNumberFormat="1" applyFont="1" applyBorder="1" applyAlignment="1">
      <alignment horizontal="right" vertical="center" wrapText="1"/>
    </xf>
    <xf numFmtId="170" fontId="20" fillId="0" borderId="122" xfId="20233" applyNumberFormat="1" applyFont="1" applyBorder="1" applyAlignment="1">
      <alignment horizontal="right" vertical="center" wrapText="1"/>
    </xf>
    <xf numFmtId="3" fontId="20" fillId="0" borderId="121" xfId="20233" applyNumberFormat="1" applyFont="1" applyBorder="1" applyAlignment="1">
      <alignment horizontal="right" vertical="center" wrapText="1"/>
    </xf>
    <xf numFmtId="0" fontId="46" fillId="2" borderId="0" xfId="0" applyFont="1" applyFill="1"/>
    <xf numFmtId="169" fontId="23" fillId="2" borderId="0" xfId="7" applyNumberFormat="1" applyFont="1" applyFill="1" applyAlignment="1">
      <alignment vertical="center"/>
    </xf>
    <xf numFmtId="0" fontId="23" fillId="2" borderId="0" xfId="0" applyFont="1" applyFill="1" applyAlignment="1">
      <alignment horizontal="left" vertical="center" wrapText="1"/>
    </xf>
    <xf numFmtId="0" fontId="23" fillId="2" borderId="0" xfId="0" applyFont="1" applyFill="1" applyAlignment="1">
      <alignment vertical="center"/>
    </xf>
    <xf numFmtId="0" fontId="23" fillId="0" borderId="0" xfId="0" applyFont="1" applyAlignment="1">
      <alignment vertical="center"/>
    </xf>
    <xf numFmtId="0" fontId="172" fillId="2" borderId="0" xfId="0" applyFont="1" applyFill="1"/>
    <xf numFmtId="169" fontId="34" fillId="2" borderId="0" xfId="7" applyNumberFormat="1" applyFont="1" applyFill="1" applyAlignment="1">
      <alignment vertical="center"/>
    </xf>
    <xf numFmtId="0" fontId="34" fillId="2" borderId="0" xfId="0" applyFont="1" applyFill="1" applyAlignment="1">
      <alignment horizontal="left" vertical="center" wrapText="1"/>
    </xf>
    <xf numFmtId="0" fontId="34" fillId="2" borderId="0" xfId="0" applyFont="1" applyFill="1" applyAlignment="1">
      <alignment vertical="center"/>
    </xf>
    <xf numFmtId="0" fontId="34" fillId="2" borderId="0" xfId="0" applyFont="1" applyFill="1"/>
    <xf numFmtId="0" fontId="34" fillId="0" borderId="0" xfId="0" applyFont="1" applyAlignment="1">
      <alignment vertical="center"/>
    </xf>
    <xf numFmtId="0" fontId="12" fillId="0" borderId="3" xfId="0" applyFont="1" applyBorder="1" applyAlignment="1">
      <alignment horizontal="left" vertical="center"/>
    </xf>
    <xf numFmtId="0" fontId="29" fillId="0" borderId="53" xfId="0" applyFont="1" applyBorder="1" applyAlignment="1">
      <alignment horizontal="left" vertical="center" wrapText="1"/>
    </xf>
    <xf numFmtId="170" fontId="49" fillId="2" borderId="53" xfId="0" applyNumberFormat="1" applyFont="1" applyFill="1" applyBorder="1" applyAlignment="1">
      <alignment horizontal="right" vertical="center" wrapText="1"/>
    </xf>
    <xf numFmtId="3" fontId="49" fillId="2" borderId="53" xfId="0" applyNumberFormat="1" applyFont="1" applyFill="1" applyBorder="1" applyAlignment="1">
      <alignment horizontal="right" vertical="center" wrapText="1"/>
    </xf>
    <xf numFmtId="3" fontId="49" fillId="0" borderId="53" xfId="0" applyNumberFormat="1" applyFont="1" applyBorder="1" applyAlignment="1">
      <alignment horizontal="right" vertical="center" wrapText="1"/>
    </xf>
    <xf numFmtId="3" fontId="20" fillId="0" borderId="53" xfId="0" applyNumberFormat="1" applyFont="1" applyBorder="1" applyAlignment="1">
      <alignment horizontal="right" vertical="center" wrapText="1"/>
    </xf>
    <xf numFmtId="3" fontId="30" fillId="0" borderId="53" xfId="0" applyNumberFormat="1" applyFont="1" applyBorder="1" applyAlignment="1">
      <alignment horizontal="right" vertical="center" wrapText="1"/>
    </xf>
    <xf numFmtId="170" fontId="49" fillId="2" borderId="123" xfId="0" applyNumberFormat="1" applyFont="1" applyFill="1" applyBorder="1" applyAlignment="1">
      <alignment horizontal="right" vertical="center" wrapText="1"/>
    </xf>
    <xf numFmtId="3" fontId="49" fillId="2" borderId="123" xfId="0" applyNumberFormat="1" applyFont="1" applyFill="1" applyBorder="1" applyAlignment="1">
      <alignment horizontal="right" vertical="center" wrapText="1"/>
    </xf>
    <xf numFmtId="170" fontId="51" fillId="84" borderId="124" xfId="0" applyNumberFormat="1" applyFont="1" applyFill="1" applyBorder="1" applyAlignment="1">
      <alignment vertical="center" wrapText="1"/>
    </xf>
    <xf numFmtId="3" fontId="51" fillId="84" borderId="124" xfId="0" applyNumberFormat="1" applyFont="1" applyFill="1" applyBorder="1" applyAlignment="1">
      <alignment vertical="center" wrapText="1"/>
    </xf>
    <xf numFmtId="0" fontId="227" fillId="0" borderId="0" xfId="0" applyFont="1"/>
    <xf numFmtId="170" fontId="9" fillId="0" borderId="0" xfId="26619" applyNumberFormat="1" applyFont="1" applyFill="1" applyBorder="1" applyAlignment="1">
      <alignment vertical="center"/>
    </xf>
    <xf numFmtId="169" fontId="9" fillId="0" borderId="0" xfId="7" applyNumberFormat="1" applyFont="1" applyFill="1" applyBorder="1" applyAlignment="1">
      <alignment vertical="center"/>
    </xf>
    <xf numFmtId="180" fontId="48" fillId="0" borderId="0" xfId="0" applyNumberFormat="1" applyFont="1" applyAlignment="1">
      <alignment horizontal="right" vertical="center"/>
    </xf>
    <xf numFmtId="171" fontId="12" fillId="2" borderId="0" xfId="0" applyNumberFormat="1" applyFont="1" applyFill="1" applyAlignment="1">
      <alignment horizontal="right" vertical="center"/>
    </xf>
    <xf numFmtId="171" fontId="43" fillId="2" borderId="0" xfId="0" applyNumberFormat="1" applyFont="1" applyFill="1" applyAlignment="1">
      <alignment horizontal="right" vertical="center"/>
    </xf>
    <xf numFmtId="215" fontId="210" fillId="78" borderId="0" xfId="0" applyNumberFormat="1" applyFont="1" applyFill="1"/>
    <xf numFmtId="171" fontId="192" fillId="83" borderId="125" xfId="0" applyNumberFormat="1" applyFont="1" applyFill="1" applyBorder="1" applyAlignment="1">
      <alignment vertical="center"/>
    </xf>
    <xf numFmtId="171" fontId="194" fillId="83" borderId="125" xfId="0" applyNumberFormat="1" applyFont="1" applyFill="1" applyBorder="1" applyAlignment="1">
      <alignment vertical="center"/>
    </xf>
    <xf numFmtId="182" fontId="192" fillId="83" borderId="125" xfId="0" applyNumberFormat="1" applyFont="1" applyFill="1" applyBorder="1" applyAlignment="1">
      <alignment vertical="center"/>
    </xf>
    <xf numFmtId="215" fontId="192" fillId="83" borderId="125" xfId="0" applyNumberFormat="1" applyFont="1" applyFill="1" applyBorder="1" applyAlignment="1">
      <alignment vertical="center"/>
    </xf>
    <xf numFmtId="215" fontId="194" fillId="83" borderId="125" xfId="0" applyNumberFormat="1" applyFont="1" applyFill="1" applyBorder="1" applyAlignment="1">
      <alignment vertical="center"/>
    </xf>
    <xf numFmtId="170" fontId="12" fillId="0" borderId="0" xfId="0" applyNumberFormat="1" applyFont="1"/>
    <xf numFmtId="182" fontId="23" fillId="0" borderId="126" xfId="0" applyNumberFormat="1" applyFont="1" applyBorder="1" applyAlignment="1">
      <alignment vertical="center"/>
    </xf>
    <xf numFmtId="182" fontId="47" fillId="0" borderId="66" xfId="0" applyNumberFormat="1" applyFont="1" applyBorder="1" applyAlignment="1">
      <alignment vertical="center"/>
    </xf>
    <xf numFmtId="181" fontId="31" fillId="2" borderId="0" xfId="0" applyNumberFormat="1" applyFont="1" applyFill="1" applyAlignment="1">
      <alignment vertical="center"/>
    </xf>
    <xf numFmtId="181" fontId="228" fillId="0" borderId="0" xfId="0" applyNumberFormat="1" applyFont="1" applyAlignment="1">
      <alignment vertical="center"/>
    </xf>
    <xf numFmtId="177" fontId="172" fillId="0" borderId="66" xfId="0" applyNumberFormat="1" applyFont="1" applyBorder="1" applyAlignment="1">
      <alignment vertical="center"/>
    </xf>
    <xf numFmtId="181" fontId="228" fillId="2" borderId="0" xfId="0" applyNumberFormat="1" applyFont="1" applyFill="1" applyAlignment="1">
      <alignment vertical="center"/>
    </xf>
    <xf numFmtId="181" fontId="31" fillId="0" borderId="0" xfId="0" applyNumberFormat="1" applyFont="1" applyAlignment="1">
      <alignment vertical="center"/>
    </xf>
    <xf numFmtId="181" fontId="228" fillId="0" borderId="0" xfId="0" applyNumberFormat="1" applyFont="1" applyAlignment="1">
      <alignment horizontal="right" vertical="center"/>
    </xf>
    <xf numFmtId="181" fontId="35" fillId="0" borderId="0" xfId="0" applyNumberFormat="1" applyFont="1" applyAlignment="1">
      <alignment horizontal="right" vertical="center"/>
    </xf>
    <xf numFmtId="184" fontId="50" fillId="2" borderId="0" xfId="0" applyNumberFormat="1" applyFont="1" applyFill="1" applyAlignment="1">
      <alignment vertical="center"/>
    </xf>
    <xf numFmtId="170" fontId="180" fillId="2" borderId="66" xfId="0" applyNumberFormat="1" applyFont="1" applyFill="1" applyBorder="1" applyAlignment="1">
      <alignment vertical="center"/>
    </xf>
    <xf numFmtId="171" fontId="31" fillId="0" borderId="0" xfId="0" applyNumberFormat="1" applyFont="1" applyAlignment="1">
      <alignment horizontal="right" vertical="center"/>
    </xf>
    <xf numFmtId="186" fontId="204" fillId="2" borderId="0" xfId="0" applyNumberFormat="1" applyFont="1" applyFill="1" applyAlignment="1">
      <alignment horizontal="right" vertical="center"/>
    </xf>
    <xf numFmtId="182" fontId="34" fillId="0" borderId="0" xfId="0" applyNumberFormat="1" applyFont="1" applyAlignment="1">
      <alignment vertical="center"/>
    </xf>
    <xf numFmtId="182" fontId="34" fillId="0" borderId="66" xfId="0" applyNumberFormat="1" applyFont="1" applyBorder="1" applyAlignment="1">
      <alignment vertical="center"/>
    </xf>
    <xf numFmtId="0" fontId="229" fillId="0" borderId="0" xfId="0" applyFont="1" applyAlignment="1">
      <alignment horizontal="right" vertical="center"/>
    </xf>
    <xf numFmtId="170" fontId="229" fillId="0" borderId="0" xfId="0" applyNumberFormat="1" applyFont="1" applyAlignment="1">
      <alignment horizontal="right" vertical="center"/>
    </xf>
    <xf numFmtId="0" fontId="231" fillId="0" borderId="0" xfId="0" applyFont="1" applyAlignment="1">
      <alignment horizontal="right" vertical="center"/>
    </xf>
    <xf numFmtId="170" fontId="231" fillId="0" borderId="0" xfId="0" applyNumberFormat="1" applyFont="1"/>
    <xf numFmtId="170" fontId="220" fillId="0" borderId="127" xfId="0" applyNumberFormat="1" applyFont="1" applyBorder="1" applyAlignment="1">
      <alignment horizontal="right" vertical="center"/>
    </xf>
    <xf numFmtId="186" fontId="204" fillId="0" borderId="0" xfId="0" applyNumberFormat="1" applyFont="1" applyAlignment="1">
      <alignment horizontal="right" vertical="center"/>
    </xf>
    <xf numFmtId="0" fontId="230" fillId="0" borderId="0" xfId="0" applyFont="1" applyAlignment="1">
      <alignment horizontal="right" vertical="center"/>
    </xf>
    <xf numFmtId="0" fontId="233" fillId="0" borderId="0" xfId="0" applyFont="1" applyAlignment="1">
      <alignment vertical="top"/>
    </xf>
    <xf numFmtId="167" fontId="174" fillId="0" borderId="0" xfId="0" applyNumberFormat="1" applyFont="1" applyAlignment="1">
      <alignment vertical="center"/>
    </xf>
    <xf numFmtId="0" fontId="232" fillId="0" borderId="0" xfId="20233" applyFont="1" applyAlignment="1">
      <alignment vertical="center"/>
    </xf>
    <xf numFmtId="182" fontId="228" fillId="0" borderId="9" xfId="0" applyNumberFormat="1" applyFont="1" applyBorder="1" applyAlignment="1">
      <alignment vertical="center"/>
    </xf>
    <xf numFmtId="177" fontId="172" fillId="0" borderId="67" xfId="0" applyNumberFormat="1" applyFont="1" applyBorder="1" applyAlignment="1">
      <alignment vertical="center"/>
    </xf>
    <xf numFmtId="182" fontId="31" fillId="0" borderId="9" xfId="0" applyNumberFormat="1" applyFont="1" applyBorder="1" applyAlignment="1">
      <alignment vertical="center"/>
    </xf>
    <xf numFmtId="181" fontId="31" fillId="0" borderId="9" xfId="0" applyNumberFormat="1" applyFont="1" applyBorder="1" applyAlignment="1">
      <alignment vertical="center"/>
    </xf>
    <xf numFmtId="173" fontId="31" fillId="2" borderId="9" xfId="0" applyNumberFormat="1" applyFont="1" applyFill="1" applyBorder="1" applyAlignment="1">
      <alignment horizontal="right" vertical="center"/>
    </xf>
    <xf numFmtId="181" fontId="228" fillId="2" borderId="9" xfId="0" applyNumberFormat="1" applyFont="1" applyFill="1" applyBorder="1" applyAlignment="1">
      <alignment vertical="center"/>
    </xf>
    <xf numFmtId="182" fontId="34" fillId="0" borderId="99" xfId="0" applyNumberFormat="1" applyFont="1" applyBorder="1" applyAlignment="1">
      <alignment vertical="center"/>
    </xf>
    <xf numFmtId="217" fontId="31" fillId="0" borderId="9" xfId="0" applyNumberFormat="1" applyFont="1" applyBorder="1" applyAlignment="1">
      <alignment horizontal="right" vertical="center"/>
    </xf>
    <xf numFmtId="172" fontId="12" fillId="0" borderId="0" xfId="0" applyNumberFormat="1" applyFont="1" applyAlignment="1">
      <alignment vertical="center"/>
    </xf>
    <xf numFmtId="173" fontId="31" fillId="0" borderId="9" xfId="0" applyNumberFormat="1" applyFont="1" applyBorder="1" applyAlignment="1">
      <alignment horizontal="right" vertical="center"/>
    </xf>
    <xf numFmtId="0" fontId="234" fillId="0" borderId="3" xfId="0" applyFont="1" applyBorder="1" applyAlignment="1">
      <alignment horizontal="left" vertical="center" wrapText="1" indent="2"/>
    </xf>
    <xf numFmtId="173" fontId="33" fillId="0" borderId="9" xfId="0" applyNumberFormat="1" applyFont="1" applyBorder="1" applyAlignment="1">
      <alignment horizontal="right" vertical="center"/>
    </xf>
    <xf numFmtId="181" fontId="228" fillId="0" borderId="9" xfId="0" applyNumberFormat="1" applyFont="1" applyBorder="1" applyAlignment="1">
      <alignment vertical="center"/>
    </xf>
    <xf numFmtId="170" fontId="229" fillId="0" borderId="0" xfId="1" applyNumberFormat="1" applyFont="1" applyFill="1" applyAlignment="1">
      <alignment horizontal="right" vertical="center"/>
    </xf>
    <xf numFmtId="181" fontId="31" fillId="0" borderId="0" xfId="1" applyNumberFormat="1" applyFont="1" applyFill="1" applyBorder="1" applyAlignment="1">
      <alignment horizontal="right" vertical="center"/>
    </xf>
    <xf numFmtId="181" fontId="31" fillId="0" borderId="0" xfId="8" applyNumberFormat="1" applyFont="1" applyFill="1" applyBorder="1" applyAlignment="1">
      <alignment horizontal="right" vertical="center"/>
    </xf>
    <xf numFmtId="218" fontId="12" fillId="0" borderId="0" xfId="1" applyNumberFormat="1" applyFont="1" applyFill="1" applyAlignment="1">
      <alignment vertical="center"/>
    </xf>
    <xf numFmtId="218" fontId="31" fillId="0" borderId="0" xfId="1" applyNumberFormat="1" applyFont="1" applyFill="1" applyAlignment="1">
      <alignment vertical="center"/>
    </xf>
    <xf numFmtId="170" fontId="172" fillId="84" borderId="9" xfId="0" applyNumberFormat="1" applyFont="1" applyFill="1" applyBorder="1" applyAlignment="1">
      <alignment vertical="center" wrapText="1"/>
    </xf>
    <xf numFmtId="185" fontId="43" fillId="2" borderId="0" xfId="0" applyNumberFormat="1" applyFont="1" applyFill="1" applyAlignment="1">
      <alignment vertical="center"/>
    </xf>
    <xf numFmtId="171" fontId="192" fillId="83" borderId="129" xfId="0" applyNumberFormat="1" applyFont="1" applyFill="1" applyBorder="1" applyAlignment="1">
      <alignment vertical="center"/>
    </xf>
    <xf numFmtId="171" fontId="43" fillId="2" borderId="130" xfId="0" applyNumberFormat="1" applyFont="1" applyFill="1" applyBorder="1" applyAlignment="1">
      <alignment horizontal="right" vertical="center"/>
    </xf>
    <xf numFmtId="215" fontId="192" fillId="83" borderId="129" xfId="0" applyNumberFormat="1" applyFont="1" applyFill="1" applyBorder="1" applyAlignment="1">
      <alignment vertical="center"/>
    </xf>
    <xf numFmtId="177" fontId="12" fillId="2" borderId="130" xfId="0" applyNumberFormat="1" applyFont="1" applyFill="1" applyBorder="1" applyAlignment="1">
      <alignment horizontal="right" vertical="center"/>
    </xf>
    <xf numFmtId="214" fontId="192" fillId="83" borderId="130" xfId="0" applyNumberFormat="1" applyFont="1" applyFill="1" applyBorder="1" applyAlignment="1">
      <alignment vertical="center"/>
    </xf>
    <xf numFmtId="182" fontId="43" fillId="2" borderId="130" xfId="0" applyNumberFormat="1" applyFont="1" applyFill="1" applyBorder="1" applyAlignment="1">
      <alignment horizontal="right" vertical="center"/>
    </xf>
    <xf numFmtId="177" fontId="43" fillId="2" borderId="130" xfId="0" applyNumberFormat="1" applyFont="1" applyFill="1" applyBorder="1" applyAlignment="1">
      <alignment horizontal="right" vertical="center"/>
    </xf>
    <xf numFmtId="219" fontId="31" fillId="78" borderId="0" xfId="0" applyNumberFormat="1" applyFont="1" applyFill="1"/>
    <xf numFmtId="170" fontId="12" fillId="2" borderId="0" xfId="0" applyNumberFormat="1" applyFont="1" applyFill="1"/>
    <xf numFmtId="169" fontId="12" fillId="2" borderId="0" xfId="7" applyNumberFormat="1" applyFont="1" applyFill="1"/>
    <xf numFmtId="167" fontId="12" fillId="2" borderId="0" xfId="0" applyNumberFormat="1" applyFont="1" applyFill="1"/>
    <xf numFmtId="0" fontId="4" fillId="0" borderId="0" xfId="0" applyFont="1"/>
    <xf numFmtId="4" fontId="235" fillId="0" borderId="0" xfId="20233" applyNumberFormat="1" applyFont="1" applyAlignment="1">
      <alignment vertical="center"/>
    </xf>
    <xf numFmtId="186" fontId="26" fillId="2" borderId="130" xfId="0" applyNumberFormat="1" applyFont="1" applyFill="1" applyBorder="1" applyAlignment="1">
      <alignment horizontal="right" vertical="center"/>
    </xf>
    <xf numFmtId="0" fontId="220" fillId="0" borderId="127" xfId="0" applyFont="1" applyBorder="1" applyAlignment="1">
      <alignment horizontal="right" vertical="center"/>
    </xf>
    <xf numFmtId="184" fontId="50" fillId="0" borderId="0" xfId="0" applyNumberFormat="1" applyFont="1" applyAlignment="1">
      <alignment vertical="center"/>
    </xf>
    <xf numFmtId="170" fontId="172" fillId="80" borderId="99" xfId="0" applyNumberFormat="1" applyFont="1" applyFill="1" applyBorder="1" applyAlignment="1">
      <alignment vertical="center" wrapText="1"/>
    </xf>
    <xf numFmtId="171" fontId="43" fillId="2" borderId="131" xfId="0" applyNumberFormat="1" applyFont="1" applyFill="1" applyBorder="1" applyAlignment="1">
      <alignment horizontal="right" vertical="center"/>
    </xf>
    <xf numFmtId="171" fontId="43" fillId="2" borderId="132" xfId="0" applyNumberFormat="1" applyFont="1" applyFill="1" applyBorder="1" applyAlignment="1">
      <alignment horizontal="right" vertical="center"/>
    </xf>
    <xf numFmtId="0" fontId="194" fillId="75" borderId="0" xfId="0" applyFont="1" applyFill="1" applyAlignment="1">
      <alignment horizontal="right" vertical="center" wrapText="1"/>
    </xf>
    <xf numFmtId="167" fontId="229" fillId="0" borderId="0" xfId="0" applyNumberFormat="1" applyFont="1" applyAlignment="1">
      <alignment horizontal="right" vertical="center"/>
    </xf>
    <xf numFmtId="170" fontId="230" fillId="0" borderId="0" xfId="0" applyNumberFormat="1" applyFont="1" applyAlignment="1">
      <alignment horizontal="right" vertical="center"/>
    </xf>
    <xf numFmtId="0" fontId="229" fillId="0" borderId="71" xfId="0" applyFont="1" applyBorder="1" applyAlignment="1">
      <alignment horizontal="right" vertical="center"/>
    </xf>
    <xf numFmtId="181" fontId="12" fillId="0" borderId="3" xfId="0" applyNumberFormat="1" applyFont="1" applyBorder="1" applyAlignment="1">
      <alignment vertical="center"/>
    </xf>
    <xf numFmtId="181" fontId="33" fillId="0" borderId="3" xfId="0" applyNumberFormat="1" applyFont="1" applyBorder="1" applyAlignment="1">
      <alignment vertical="center"/>
    </xf>
    <xf numFmtId="170" fontId="187" fillId="0" borderId="0" xfId="0" applyNumberFormat="1" applyFont="1"/>
    <xf numFmtId="181" fontId="12" fillId="2" borderId="130" xfId="0" applyNumberFormat="1" applyFont="1" applyFill="1" applyBorder="1" applyAlignment="1">
      <alignment horizontal="right" vertical="center"/>
    </xf>
    <xf numFmtId="170" fontId="221" fillId="85" borderId="0" xfId="29659" applyNumberFormat="1" applyFont="1" applyFill="1" applyBorder="1" applyAlignment="1">
      <alignment horizontal="right" vertical="center" wrapText="1"/>
    </xf>
    <xf numFmtId="4" fontId="20" fillId="0" borderId="0" xfId="20233" applyNumberFormat="1" applyFont="1" applyAlignment="1">
      <alignment horizontal="right" vertical="center" wrapText="1"/>
    </xf>
    <xf numFmtId="169" fontId="20" fillId="0" borderId="0" xfId="7" applyNumberFormat="1" applyFont="1" applyAlignment="1">
      <alignment horizontal="right" vertical="center" wrapText="1"/>
    </xf>
    <xf numFmtId="3" fontId="221" fillId="85" borderId="0" xfId="29659" applyNumberFormat="1" applyFont="1" applyFill="1" applyBorder="1" applyAlignment="1">
      <alignment horizontal="right" vertical="center" wrapText="1"/>
    </xf>
    <xf numFmtId="3" fontId="9" fillId="0" borderId="0" xfId="42855" applyNumberFormat="1" applyFont="1" applyFill="1" applyBorder="1" applyAlignment="1">
      <alignment vertical="center"/>
    </xf>
    <xf numFmtId="2" fontId="63" fillId="0" borderId="0" xfId="0" applyNumberFormat="1" applyFont="1"/>
    <xf numFmtId="177" fontId="33" fillId="0" borderId="0" xfId="0" applyNumberFormat="1" applyFont="1" applyAlignment="1">
      <alignment horizontal="right" vertical="center"/>
    </xf>
    <xf numFmtId="176" fontId="236" fillId="0" borderId="0" xfId="0" applyNumberFormat="1" applyFont="1" applyAlignment="1">
      <alignment horizontal="right" vertical="center"/>
    </xf>
    <xf numFmtId="177" fontId="33" fillId="2" borderId="0" xfId="0" applyNumberFormat="1" applyFont="1" applyFill="1" applyAlignment="1">
      <alignment horizontal="right" vertical="center"/>
    </xf>
    <xf numFmtId="177" fontId="237" fillId="2" borderId="0" xfId="0" applyNumberFormat="1" applyFont="1" applyFill="1" applyAlignment="1">
      <alignment horizontal="right" vertical="center"/>
    </xf>
    <xf numFmtId="177" fontId="33" fillId="2" borderId="130" xfId="0" applyNumberFormat="1" applyFont="1" applyFill="1" applyBorder="1" applyAlignment="1">
      <alignment horizontal="right" vertical="center"/>
    </xf>
    <xf numFmtId="0" fontId="33" fillId="0" borderId="0" xfId="0" applyFont="1"/>
    <xf numFmtId="177" fontId="228" fillId="0" borderId="0" xfId="0" applyNumberFormat="1" applyFont="1" applyAlignment="1">
      <alignment horizontal="right" vertical="center"/>
    </xf>
    <xf numFmtId="177" fontId="228" fillId="2" borderId="0" xfId="0" applyNumberFormat="1" applyFont="1" applyFill="1" applyAlignment="1">
      <alignment horizontal="right" vertical="center"/>
    </xf>
    <xf numFmtId="177" fontId="234" fillId="2" borderId="0" xfId="0" applyNumberFormat="1" applyFont="1" applyFill="1" applyAlignment="1">
      <alignment horizontal="right" vertical="center"/>
    </xf>
    <xf numFmtId="221" fontId="31" fillId="78" borderId="0" xfId="0" applyNumberFormat="1" applyFont="1" applyFill="1"/>
    <xf numFmtId="221" fontId="210" fillId="78" borderId="0" xfId="0" applyNumberFormat="1" applyFont="1" applyFill="1"/>
    <xf numFmtId="167" fontId="230" fillId="0" borderId="0" xfId="0" applyNumberFormat="1" applyFont="1" applyAlignment="1">
      <alignment horizontal="right" vertical="center"/>
    </xf>
    <xf numFmtId="170" fontId="15" fillId="2" borderId="66" xfId="0" applyNumberFormat="1" applyFont="1" applyFill="1" applyBorder="1" applyAlignment="1">
      <alignment horizontal="right" vertical="center"/>
    </xf>
    <xf numFmtId="0" fontId="79" fillId="0" borderId="0" xfId="0" applyFont="1"/>
    <xf numFmtId="170" fontId="49" fillId="2" borderId="0" xfId="0" applyNumberFormat="1" applyFont="1" applyFill="1" applyAlignment="1">
      <alignment vertical="center"/>
    </xf>
    <xf numFmtId="170" fontId="45" fillId="80" borderId="92" xfId="0" applyNumberFormat="1" applyFont="1" applyFill="1" applyBorder="1" applyAlignment="1">
      <alignment vertical="center" wrapText="1"/>
    </xf>
    <xf numFmtId="0" fontId="3" fillId="0" borderId="0" xfId="0" applyFont="1" applyAlignment="1">
      <alignment vertical="center"/>
    </xf>
    <xf numFmtId="0" fontId="32" fillId="0" borderId="16" xfId="0" applyFont="1" applyBorder="1" applyAlignment="1">
      <alignment horizontal="left" vertical="center" indent="3"/>
    </xf>
    <xf numFmtId="216" fontId="223" fillId="0" borderId="106" xfId="42855" applyNumberFormat="1" applyFont="1" applyFill="1" applyBorder="1" applyAlignment="1">
      <alignment vertical="center"/>
    </xf>
    <xf numFmtId="216" fontId="223" fillId="0" borderId="0" xfId="42855" applyNumberFormat="1" applyFont="1" applyFill="1" applyBorder="1" applyAlignment="1">
      <alignment vertical="center"/>
    </xf>
    <xf numFmtId="3" fontId="223" fillId="0" borderId="0" xfId="42855" applyNumberFormat="1" applyFont="1" applyFill="1" applyBorder="1" applyAlignment="1">
      <alignment vertical="center"/>
    </xf>
    <xf numFmtId="9" fontId="43" fillId="2" borderId="0" xfId="7" applyFont="1" applyFill="1" applyAlignment="1">
      <alignment vertical="center"/>
    </xf>
    <xf numFmtId="169" fontId="12" fillId="0" borderId="0" xfId="7" applyNumberFormat="1" applyFont="1" applyAlignment="1">
      <alignment horizontal="right" vertical="center"/>
    </xf>
    <xf numFmtId="0" fontId="9" fillId="0" borderId="0" xfId="7" applyNumberFormat="1" applyFont="1" applyAlignment="1">
      <alignment vertical="center"/>
    </xf>
    <xf numFmtId="170" fontId="220" fillId="0" borderId="0" xfId="0" applyNumberFormat="1" applyFont="1" applyAlignment="1">
      <alignment horizontal="right" vertical="center" wrapText="1"/>
    </xf>
    <xf numFmtId="181" fontId="12" fillId="0" borderId="9" xfId="0" applyNumberFormat="1" applyFont="1" applyBorder="1" applyAlignment="1">
      <alignment horizontal="right" vertical="center"/>
    </xf>
    <xf numFmtId="170" fontId="20" fillId="2" borderId="104" xfId="20233" applyNumberFormat="1" applyFont="1" applyFill="1" applyBorder="1" applyAlignment="1">
      <alignment horizontal="right" vertical="center" wrapText="1"/>
    </xf>
    <xf numFmtId="9" fontId="240" fillId="0" borderId="0" xfId="7" applyFont="1" applyAlignment="1">
      <alignment vertical="center"/>
    </xf>
    <xf numFmtId="173" fontId="228" fillId="0" borderId="9" xfId="0" applyNumberFormat="1" applyFont="1" applyBorder="1" applyAlignment="1">
      <alignment vertical="center"/>
    </xf>
    <xf numFmtId="169" fontId="31" fillId="78" borderId="0" xfId="7" applyNumberFormat="1" applyFont="1" applyFill="1" applyAlignment="1">
      <alignment vertical="center"/>
    </xf>
    <xf numFmtId="2" fontId="231" fillId="0" borderId="0" xfId="0" applyNumberFormat="1" applyFont="1" applyAlignment="1">
      <alignment horizontal="right" vertical="center" wrapText="1"/>
    </xf>
    <xf numFmtId="0" fontId="231" fillId="0" borderId="0" xfId="0" applyFont="1" applyAlignment="1">
      <alignment horizontal="right" vertical="center" wrapText="1"/>
    </xf>
    <xf numFmtId="0" fontId="241" fillId="0" borderId="0" xfId="0" applyFont="1" applyAlignment="1">
      <alignment vertical="center"/>
    </xf>
    <xf numFmtId="169" fontId="79" fillId="0" borderId="0" xfId="7" applyNumberFormat="1" applyFont="1" applyFill="1" applyBorder="1" applyAlignment="1">
      <alignment vertical="center"/>
    </xf>
    <xf numFmtId="169" fontId="9" fillId="0" borderId="0" xfId="7" applyNumberFormat="1" applyFont="1" applyAlignment="1">
      <alignment vertical="center"/>
    </xf>
    <xf numFmtId="170" fontId="27" fillId="0" borderId="0" xfId="0" applyNumberFormat="1" applyFont="1" applyAlignment="1">
      <alignment vertical="center"/>
    </xf>
    <xf numFmtId="169" fontId="187" fillId="0" borderId="0" xfId="7" applyNumberFormat="1" applyFont="1"/>
    <xf numFmtId="165" fontId="228" fillId="0" borderId="9" xfId="0" applyNumberFormat="1" applyFont="1" applyBorder="1" applyAlignment="1">
      <alignment horizontal="right" vertical="center"/>
    </xf>
    <xf numFmtId="165" fontId="228" fillId="2" borderId="9" xfId="0" applyNumberFormat="1" applyFont="1" applyFill="1" applyBorder="1" applyAlignment="1">
      <alignment horizontal="right" vertical="center"/>
    </xf>
    <xf numFmtId="217" fontId="228" fillId="2" borderId="9" xfId="0" applyNumberFormat="1" applyFont="1" applyFill="1" applyBorder="1" applyAlignment="1">
      <alignment horizontal="right" vertical="center"/>
    </xf>
    <xf numFmtId="181" fontId="25" fillId="0" borderId="3" xfId="0" applyNumberFormat="1" applyFont="1" applyBorder="1" applyAlignment="1">
      <alignment horizontal="right" vertical="center"/>
    </xf>
    <xf numFmtId="0" fontId="2" fillId="2" borderId="0" xfId="0" applyFont="1" applyFill="1" applyAlignment="1">
      <alignment wrapText="1"/>
    </xf>
    <xf numFmtId="0" fontId="2" fillId="2" borderId="0" xfId="0" applyFont="1" applyFill="1"/>
    <xf numFmtId="0" fontId="2" fillId="2" borderId="0" xfId="0" applyFont="1" applyFill="1" applyAlignment="1">
      <alignment vertical="center" wrapText="1"/>
    </xf>
    <xf numFmtId="169" fontId="2" fillId="0" borderId="0" xfId="0" applyNumberFormat="1" applyFont="1"/>
    <xf numFmtId="0" fontId="2" fillId="0" borderId="0" xfId="0" applyFont="1"/>
    <xf numFmtId="170" fontId="2" fillId="0" borderId="0" xfId="0" applyNumberFormat="1" applyFont="1" applyAlignment="1">
      <alignment vertical="center"/>
    </xf>
    <xf numFmtId="169" fontId="2" fillId="0" borderId="0" xfId="0" applyNumberFormat="1" applyFont="1" applyAlignment="1">
      <alignment vertical="center"/>
    </xf>
    <xf numFmtId="0" fontId="2" fillId="0" borderId="0" xfId="0" applyFont="1" applyAlignment="1">
      <alignment vertical="center"/>
    </xf>
    <xf numFmtId="0" fontId="2" fillId="2" borderId="0" xfId="0" applyFont="1" applyFill="1" applyAlignment="1">
      <alignment vertical="center"/>
    </xf>
    <xf numFmtId="170" fontId="2" fillId="0" borderId="0" xfId="0" applyNumberFormat="1" applyFont="1"/>
    <xf numFmtId="0" fontId="2" fillId="0" borderId="0" xfId="0" quotePrefix="1" applyFont="1"/>
    <xf numFmtId="0" fontId="2" fillId="0" borderId="16" xfId="0" applyFont="1" applyBorder="1" applyAlignment="1">
      <alignment vertical="center"/>
    </xf>
    <xf numFmtId="170" fontId="2" fillId="2" borderId="0" xfId="0" applyNumberFormat="1" applyFont="1" applyFill="1" applyAlignment="1">
      <alignment vertical="center"/>
    </xf>
    <xf numFmtId="0" fontId="2" fillId="0" borderId="17" xfId="0" applyFont="1" applyBorder="1" applyAlignment="1">
      <alignment vertical="center"/>
    </xf>
    <xf numFmtId="0" fontId="2" fillId="0" borderId="53" xfId="0" applyFont="1" applyBorder="1" applyAlignment="1">
      <alignment vertical="center"/>
    </xf>
    <xf numFmtId="170" fontId="2" fillId="2" borderId="53" xfId="0" applyNumberFormat="1" applyFont="1" applyFill="1" applyBorder="1" applyAlignment="1">
      <alignment vertical="center"/>
    </xf>
    <xf numFmtId="3" fontId="2" fillId="2" borderId="0" xfId="0" applyNumberFormat="1" applyFont="1" applyFill="1" applyAlignment="1">
      <alignment vertical="center"/>
    </xf>
    <xf numFmtId="3" fontId="2" fillId="2" borderId="53" xfId="0" applyNumberFormat="1" applyFont="1" applyFill="1" applyBorder="1" applyAlignment="1">
      <alignment vertical="center"/>
    </xf>
    <xf numFmtId="0" fontId="2" fillId="2" borderId="90" xfId="0" applyFont="1" applyFill="1" applyBorder="1" applyAlignment="1">
      <alignment horizontal="left" vertical="center" wrapText="1" indent="4"/>
    </xf>
    <xf numFmtId="0" fontId="2" fillId="2" borderId="100" xfId="0" applyFont="1" applyFill="1" applyBorder="1" applyAlignment="1">
      <alignment horizontal="left" vertical="center" wrapText="1" indent="3"/>
    </xf>
    <xf numFmtId="169" fontId="23" fillId="2" borderId="0" xfId="7" applyNumberFormat="1" applyFont="1" applyFill="1"/>
    <xf numFmtId="170" fontId="177" fillId="86" borderId="92" xfId="0" applyNumberFormat="1" applyFont="1" applyFill="1" applyBorder="1" applyAlignment="1">
      <alignment horizontal="left" vertical="center" wrapText="1" indent="4"/>
    </xf>
    <xf numFmtId="170" fontId="177" fillId="86" borderId="100" xfId="0" applyNumberFormat="1" applyFont="1" applyFill="1" applyBorder="1" applyAlignment="1">
      <alignment horizontal="left" vertical="center" wrapText="1" indent="4"/>
    </xf>
    <xf numFmtId="0" fontId="27" fillId="87" borderId="0" xfId="0" applyFont="1" applyFill="1" applyAlignment="1">
      <alignment horizontal="left" vertical="center" wrapText="1" indent="2"/>
    </xf>
    <xf numFmtId="170" fontId="47" fillId="86" borderId="97" xfId="0" applyNumberFormat="1" applyFont="1" applyFill="1" applyBorder="1" applyAlignment="1">
      <alignment vertical="center" wrapText="1"/>
    </xf>
    <xf numFmtId="170" fontId="47" fillId="86" borderId="0" xfId="0" applyNumberFormat="1" applyFont="1" applyFill="1" applyAlignment="1">
      <alignment vertical="center" wrapText="1"/>
    </xf>
    <xf numFmtId="170" fontId="47" fillId="86" borderId="92" xfId="0" applyNumberFormat="1" applyFont="1" applyFill="1" applyBorder="1" applyAlignment="1">
      <alignment vertical="center" wrapText="1"/>
    </xf>
    <xf numFmtId="170" fontId="47" fillId="86" borderId="9" xfId="0" applyNumberFormat="1" applyFont="1" applyFill="1" applyBorder="1" applyAlignment="1">
      <alignment vertical="center" wrapText="1"/>
    </xf>
    <xf numFmtId="170" fontId="177" fillId="86" borderId="97" xfId="0" applyNumberFormat="1" applyFont="1" applyFill="1" applyBorder="1" applyAlignment="1">
      <alignment vertical="center" wrapText="1"/>
    </xf>
    <xf numFmtId="170" fontId="177" fillId="86" borderId="0" xfId="0" applyNumberFormat="1" applyFont="1" applyFill="1" applyAlignment="1">
      <alignment vertical="center" wrapText="1"/>
    </xf>
    <xf numFmtId="170" fontId="177" fillId="86" borderId="92" xfId="0" applyNumberFormat="1" applyFont="1" applyFill="1" applyBorder="1" applyAlignment="1">
      <alignment vertical="center" wrapText="1"/>
    </xf>
    <xf numFmtId="182" fontId="177" fillId="86" borderId="92" xfId="0" applyNumberFormat="1" applyFont="1" applyFill="1" applyBorder="1" applyAlignment="1">
      <alignment vertical="center" wrapText="1"/>
    </xf>
    <xf numFmtId="170" fontId="31" fillId="86" borderId="0" xfId="0" applyNumberFormat="1" applyFont="1" applyFill="1" applyAlignment="1">
      <alignment vertical="center" wrapText="1"/>
    </xf>
    <xf numFmtId="0" fontId="24" fillId="87" borderId="0" xfId="0" applyFont="1" applyFill="1" applyAlignment="1">
      <alignment vertical="center"/>
    </xf>
    <xf numFmtId="0" fontId="24" fillId="88" borderId="0" xfId="0" applyFont="1" applyFill="1" applyAlignment="1">
      <alignment vertical="center"/>
    </xf>
    <xf numFmtId="182" fontId="177" fillId="86" borderId="0" xfId="0" applyNumberFormat="1" applyFont="1" applyFill="1" applyAlignment="1">
      <alignment vertical="center" wrapText="1"/>
    </xf>
    <xf numFmtId="182" fontId="31" fillId="86" borderId="0" xfId="0" applyNumberFormat="1" applyFont="1" applyFill="1" applyAlignment="1">
      <alignment vertical="center" wrapText="1"/>
    </xf>
    <xf numFmtId="0" fontId="27" fillId="88" borderId="0" xfId="0" applyFont="1" applyFill="1" applyAlignment="1">
      <alignment vertical="center" wrapText="1"/>
    </xf>
    <xf numFmtId="173" fontId="177" fillId="86" borderId="92" xfId="0" applyNumberFormat="1" applyFont="1" applyFill="1" applyBorder="1" applyAlignment="1">
      <alignment vertical="center" wrapText="1"/>
    </xf>
    <xf numFmtId="181" fontId="177" fillId="86" borderId="0" xfId="0" applyNumberFormat="1" applyFont="1" applyFill="1" applyAlignment="1">
      <alignment vertical="center" wrapText="1"/>
    </xf>
    <xf numFmtId="182" fontId="34" fillId="86" borderId="0" xfId="0" applyNumberFormat="1" applyFont="1" applyFill="1" applyAlignment="1">
      <alignment vertical="center" wrapText="1"/>
    </xf>
    <xf numFmtId="170" fontId="46" fillId="89" borderId="96" xfId="0" applyNumberFormat="1" applyFont="1" applyFill="1" applyBorder="1" applyAlignment="1">
      <alignment vertical="center" wrapText="1"/>
    </xf>
    <xf numFmtId="170" fontId="177" fillId="89" borderId="92" xfId="0" applyNumberFormat="1" applyFont="1" applyFill="1" applyBorder="1" applyAlignment="1">
      <alignment vertical="center" wrapText="1"/>
    </xf>
    <xf numFmtId="173" fontId="177" fillId="89" borderId="92" xfId="0" applyNumberFormat="1" applyFont="1" applyFill="1" applyBorder="1" applyAlignment="1">
      <alignment vertical="center" wrapText="1"/>
    </xf>
    <xf numFmtId="170" fontId="46" fillId="89" borderId="99" xfId="0" applyNumberFormat="1" applyFont="1" applyFill="1" applyBorder="1" applyAlignment="1">
      <alignment vertical="center" wrapText="1"/>
    </xf>
    <xf numFmtId="182" fontId="177" fillId="89" borderId="92" xfId="0" applyNumberFormat="1" applyFont="1" applyFill="1" applyBorder="1" applyAlignment="1">
      <alignment vertical="center" wrapText="1"/>
    </xf>
    <xf numFmtId="169" fontId="46" fillId="89" borderId="99" xfId="7" applyNumberFormat="1" applyFont="1" applyFill="1" applyBorder="1" applyAlignment="1">
      <alignment vertical="center" wrapText="1"/>
    </xf>
    <xf numFmtId="0" fontId="192" fillId="90" borderId="70" xfId="0" applyFont="1" applyFill="1" applyBorder="1" applyAlignment="1">
      <alignment horizontal="right" vertical="center"/>
    </xf>
    <xf numFmtId="0" fontId="192" fillId="90" borderId="128" xfId="0" applyFont="1" applyFill="1" applyBorder="1" applyAlignment="1">
      <alignment horizontal="right" vertical="center"/>
    </xf>
    <xf numFmtId="181" fontId="192" fillId="83" borderId="0" xfId="0" applyNumberFormat="1" applyFont="1" applyFill="1" applyAlignment="1">
      <alignment vertical="center"/>
    </xf>
    <xf numFmtId="171" fontId="192" fillId="83" borderId="0" xfId="0" applyNumberFormat="1" applyFont="1" applyFill="1" applyAlignment="1">
      <alignment vertical="center"/>
    </xf>
    <xf numFmtId="170" fontId="192" fillId="91" borderId="134" xfId="0" applyNumberFormat="1" applyFont="1" applyFill="1" applyBorder="1" applyAlignment="1">
      <alignment vertical="center" wrapText="1"/>
    </xf>
    <xf numFmtId="215" fontId="192" fillId="91" borderId="134" xfId="0" applyNumberFormat="1" applyFont="1" applyFill="1" applyBorder="1" applyAlignment="1">
      <alignment vertical="center" wrapText="1"/>
    </xf>
    <xf numFmtId="181" fontId="192" fillId="91" borderId="135" xfId="0" applyNumberFormat="1" applyFont="1" applyFill="1" applyBorder="1" applyAlignment="1">
      <alignment vertical="center" wrapText="1"/>
    </xf>
    <xf numFmtId="170" fontId="47" fillId="92" borderId="135" xfId="0" applyNumberFormat="1" applyFont="1" applyFill="1" applyBorder="1" applyAlignment="1">
      <alignment vertical="center" wrapText="1"/>
    </xf>
    <xf numFmtId="182" fontId="47" fillId="92" borderId="135" xfId="0" applyNumberFormat="1" applyFont="1" applyFill="1" applyBorder="1" applyAlignment="1">
      <alignment vertical="center" wrapText="1"/>
    </xf>
    <xf numFmtId="182" fontId="238" fillId="92" borderId="135" xfId="0" applyNumberFormat="1" applyFont="1" applyFill="1" applyBorder="1" applyAlignment="1">
      <alignment vertical="center" wrapText="1"/>
    </xf>
    <xf numFmtId="186" fontId="47" fillId="92" borderId="135" xfId="0" applyNumberFormat="1" applyFont="1" applyFill="1" applyBorder="1" applyAlignment="1">
      <alignment vertical="center" wrapText="1"/>
    </xf>
    <xf numFmtId="0" fontId="192" fillId="90" borderId="137" xfId="0" applyFont="1" applyFill="1" applyBorder="1" applyAlignment="1">
      <alignment horizontal="right" vertical="center"/>
    </xf>
    <xf numFmtId="0" fontId="192" fillId="75" borderId="136" xfId="0" applyFont="1" applyFill="1" applyBorder="1" applyAlignment="1">
      <alignment horizontal="right" vertical="center"/>
    </xf>
    <xf numFmtId="0" fontId="194" fillId="75" borderId="136" xfId="0" applyFont="1" applyFill="1" applyBorder="1" applyAlignment="1">
      <alignment horizontal="right" vertical="center"/>
    </xf>
    <xf numFmtId="0" fontId="192" fillId="90" borderId="139" xfId="0" applyFont="1" applyFill="1" applyBorder="1" applyAlignment="1">
      <alignment horizontal="right" vertical="center"/>
    </xf>
    <xf numFmtId="0" fontId="191" fillId="75" borderId="140" xfId="0" applyFont="1" applyFill="1" applyBorder="1" applyAlignment="1">
      <alignment horizontal="left" vertical="center" wrapText="1"/>
    </xf>
    <xf numFmtId="0" fontId="0" fillId="0" borderId="135" xfId="0" applyBorder="1"/>
    <xf numFmtId="0" fontId="12" fillId="0" borderId="135" xfId="0" applyFont="1" applyBorder="1"/>
    <xf numFmtId="171" fontId="210" fillId="0" borderId="135" xfId="0" applyNumberFormat="1" applyFont="1" applyBorder="1"/>
    <xf numFmtId="171" fontId="12" fillId="0" borderId="135" xfId="0" applyNumberFormat="1" applyFont="1" applyBorder="1"/>
    <xf numFmtId="185" fontId="12" fillId="0" borderId="135" xfId="0" applyNumberFormat="1" applyFont="1" applyBorder="1"/>
    <xf numFmtId="215" fontId="210" fillId="0" borderId="135" xfId="0" applyNumberFormat="1" applyFont="1" applyBorder="1"/>
    <xf numFmtId="185" fontId="33" fillId="0" borderId="135" xfId="0" applyNumberFormat="1" applyFont="1" applyBorder="1"/>
    <xf numFmtId="177" fontId="12" fillId="0" borderId="135" xfId="0" applyNumberFormat="1" applyFont="1" applyBorder="1"/>
    <xf numFmtId="182" fontId="12" fillId="0" borderId="135" xfId="0" applyNumberFormat="1" applyFont="1" applyBorder="1"/>
    <xf numFmtId="185" fontId="23" fillId="0" borderId="135" xfId="0" applyNumberFormat="1" applyFont="1" applyBorder="1"/>
    <xf numFmtId="169" fontId="210" fillId="0" borderId="135" xfId="0" applyNumberFormat="1" applyFont="1" applyBorder="1"/>
    <xf numFmtId="169" fontId="23" fillId="0" borderId="135" xfId="0" applyNumberFormat="1" applyFont="1" applyBorder="1"/>
    <xf numFmtId="0" fontId="191" fillId="75" borderId="87" xfId="0" applyFont="1" applyFill="1" applyBorder="1" applyAlignment="1">
      <alignment horizontal="center" vertical="center" wrapText="1"/>
    </xf>
    <xf numFmtId="0" fontId="191" fillId="75" borderId="0" xfId="0" applyFont="1" applyFill="1" applyAlignment="1">
      <alignment horizontal="left" vertical="center" wrapText="1"/>
    </xf>
    <xf numFmtId="0" fontId="192" fillId="83" borderId="0" xfId="0" applyFont="1" applyFill="1" applyAlignment="1">
      <alignment vertical="center" wrapText="1"/>
    </xf>
    <xf numFmtId="185" fontId="27" fillId="2" borderId="0" xfId="0" applyNumberFormat="1" applyFont="1" applyFill="1" applyAlignment="1">
      <alignment vertical="center" wrapText="1"/>
    </xf>
    <xf numFmtId="215" fontId="192" fillId="83" borderId="0" xfId="0" applyNumberFormat="1" applyFont="1" applyFill="1" applyAlignment="1">
      <alignment vertical="center" wrapText="1"/>
    </xf>
    <xf numFmtId="185" fontId="27" fillId="2" borderId="0" xfId="0" applyNumberFormat="1" applyFont="1" applyFill="1" applyAlignment="1">
      <alignment wrapText="1"/>
    </xf>
    <xf numFmtId="0" fontId="33" fillId="0" borderId="0" xfId="0" applyFont="1" applyAlignment="1">
      <alignment horizontal="left" vertical="center" wrapText="1" indent="1"/>
    </xf>
    <xf numFmtId="185" fontId="50" fillId="2" borderId="0" xfId="0" applyNumberFormat="1" applyFont="1" applyFill="1" applyAlignment="1">
      <alignment vertical="center" wrapText="1"/>
    </xf>
    <xf numFmtId="185" fontId="174" fillId="2" borderId="0" xfId="0" applyNumberFormat="1" applyFont="1" applyFill="1" applyAlignment="1">
      <alignment vertical="center" wrapText="1"/>
    </xf>
    <xf numFmtId="185" fontId="27" fillId="0" borderId="0" xfId="0" applyNumberFormat="1" applyFont="1" applyAlignment="1">
      <alignment vertical="center" wrapText="1"/>
    </xf>
    <xf numFmtId="185" fontId="24" fillId="2" borderId="0" xfId="0" applyNumberFormat="1" applyFont="1" applyFill="1" applyAlignment="1">
      <alignment vertical="center"/>
    </xf>
    <xf numFmtId="0" fontId="177" fillId="0" borderId="0" xfId="0" applyFont="1" applyAlignment="1">
      <alignment vertical="center" wrapText="1"/>
    </xf>
    <xf numFmtId="0" fontId="12" fillId="0" borderId="0" xfId="0" applyFont="1" applyAlignment="1">
      <alignment horizontal="left" vertical="center" wrapText="1"/>
    </xf>
    <xf numFmtId="0" fontId="47" fillId="0" borderId="0" xfId="0" applyFont="1" applyAlignment="1">
      <alignment vertical="center"/>
    </xf>
    <xf numFmtId="182" fontId="192" fillId="83" borderId="0" xfId="0" applyNumberFormat="1" applyFont="1" applyFill="1" applyAlignment="1">
      <alignment vertical="center"/>
    </xf>
    <xf numFmtId="0" fontId="192" fillId="83" borderId="125" xfId="0" applyFont="1" applyFill="1" applyBorder="1" applyAlignment="1">
      <alignment vertical="center" wrapText="1"/>
    </xf>
    <xf numFmtId="0" fontId="192" fillId="83" borderId="132" xfId="0" applyFont="1" applyFill="1" applyBorder="1" applyAlignment="1">
      <alignment vertical="center" wrapText="1"/>
    </xf>
    <xf numFmtId="181" fontId="192" fillId="83" borderId="132" xfId="0" applyNumberFormat="1" applyFont="1" applyFill="1" applyBorder="1" applyAlignment="1">
      <alignment vertical="center"/>
    </xf>
    <xf numFmtId="182" fontId="192" fillId="83" borderId="132" xfId="0" applyNumberFormat="1" applyFont="1" applyFill="1" applyBorder="1" applyAlignment="1">
      <alignment vertical="center"/>
    </xf>
    <xf numFmtId="181" fontId="192" fillId="91" borderId="142" xfId="0" applyNumberFormat="1" applyFont="1" applyFill="1" applyBorder="1" applyAlignment="1">
      <alignment vertical="center" wrapText="1"/>
    </xf>
    <xf numFmtId="171" fontId="192" fillId="83" borderId="132" xfId="0" applyNumberFormat="1" applyFont="1" applyFill="1" applyBorder="1" applyAlignment="1">
      <alignment vertical="center"/>
    </xf>
    <xf numFmtId="214" fontId="192" fillId="83" borderId="132" xfId="0" applyNumberFormat="1" applyFont="1" applyFill="1" applyBorder="1" applyAlignment="1">
      <alignment vertical="center"/>
    </xf>
    <xf numFmtId="214" fontId="192" fillId="83" borderId="0" xfId="0" applyNumberFormat="1" applyFont="1" applyFill="1" applyAlignment="1">
      <alignment vertical="center"/>
    </xf>
    <xf numFmtId="0" fontId="192" fillId="83" borderId="73" xfId="0" applyFont="1" applyFill="1" applyBorder="1" applyAlignment="1">
      <alignment vertical="center" wrapText="1"/>
    </xf>
    <xf numFmtId="171" fontId="192" fillId="83" borderId="73" xfId="0" applyNumberFormat="1" applyFont="1" applyFill="1" applyBorder="1" applyAlignment="1">
      <alignment vertical="center"/>
    </xf>
    <xf numFmtId="181" fontId="192" fillId="91" borderId="143" xfId="0" applyNumberFormat="1" applyFont="1" applyFill="1" applyBorder="1" applyAlignment="1">
      <alignment vertical="center" wrapText="1"/>
    </xf>
    <xf numFmtId="171" fontId="194" fillId="83" borderId="73" xfId="0" applyNumberFormat="1" applyFont="1" applyFill="1" applyBorder="1" applyAlignment="1">
      <alignment vertical="center"/>
    </xf>
    <xf numFmtId="182" fontId="192" fillId="83" borderId="73" xfId="0" applyNumberFormat="1" applyFont="1" applyFill="1" applyBorder="1" applyAlignment="1">
      <alignment vertical="center"/>
    </xf>
    <xf numFmtId="181" fontId="192" fillId="83" borderId="131" xfId="0" applyNumberFormat="1" applyFont="1" applyFill="1" applyBorder="1" applyAlignment="1">
      <alignment vertical="center"/>
    </xf>
    <xf numFmtId="214" fontId="192" fillId="83" borderId="133" xfId="0" applyNumberFormat="1" applyFont="1" applyFill="1" applyBorder="1" applyAlignment="1">
      <alignment vertical="center"/>
    </xf>
    <xf numFmtId="220" fontId="192" fillId="83" borderId="133" xfId="0" applyNumberFormat="1" applyFont="1" applyFill="1" applyBorder="1" applyAlignment="1">
      <alignment vertical="center"/>
    </xf>
    <xf numFmtId="171" fontId="192" fillId="83" borderId="138" xfId="0" applyNumberFormat="1" applyFont="1" applyFill="1" applyBorder="1" applyAlignment="1">
      <alignment vertical="center"/>
    </xf>
    <xf numFmtId="171" fontId="192" fillId="83" borderId="144" xfId="0" applyNumberFormat="1" applyFont="1" applyFill="1" applyBorder="1" applyAlignment="1">
      <alignment vertical="center"/>
    </xf>
    <xf numFmtId="170" fontId="192" fillId="91" borderId="142" xfId="0" applyNumberFormat="1" applyFont="1" applyFill="1" applyBorder="1" applyAlignment="1">
      <alignment vertical="center" wrapText="1"/>
    </xf>
    <xf numFmtId="171" fontId="192" fillId="83" borderId="131" xfId="0" applyNumberFormat="1" applyFont="1" applyFill="1" applyBorder="1" applyAlignment="1">
      <alignment vertical="center"/>
    </xf>
    <xf numFmtId="169" fontId="192" fillId="83" borderId="145" xfId="0" applyNumberFormat="1" applyFont="1" applyFill="1" applyBorder="1" applyAlignment="1">
      <alignment vertical="center"/>
    </xf>
    <xf numFmtId="169" fontId="192" fillId="83" borderId="73" xfId="0" applyNumberFormat="1" applyFont="1" applyFill="1" applyBorder="1" applyAlignment="1">
      <alignment vertical="center"/>
    </xf>
    <xf numFmtId="169" fontId="192" fillId="91" borderId="143" xfId="0" applyNumberFormat="1" applyFont="1" applyFill="1" applyBorder="1" applyAlignment="1">
      <alignment vertical="center" wrapText="1"/>
    </xf>
    <xf numFmtId="169" fontId="192" fillId="83" borderId="133" xfId="0" applyNumberFormat="1" applyFont="1" applyFill="1" applyBorder="1" applyAlignment="1">
      <alignment vertical="center"/>
    </xf>
    <xf numFmtId="171" fontId="194" fillId="83" borderId="132" xfId="0" applyNumberFormat="1" applyFont="1" applyFill="1" applyBorder="1" applyAlignment="1">
      <alignment vertical="center"/>
    </xf>
    <xf numFmtId="169" fontId="192" fillId="83" borderId="73" xfId="0" applyNumberFormat="1" applyFont="1" applyFill="1" applyBorder="1" applyAlignment="1">
      <alignment vertical="center" wrapText="1"/>
    </xf>
    <xf numFmtId="169" fontId="194" fillId="83" borderId="73" xfId="0" applyNumberFormat="1" applyFont="1" applyFill="1" applyBorder="1" applyAlignment="1">
      <alignment vertical="center"/>
    </xf>
    <xf numFmtId="170" fontId="2" fillId="2" borderId="0" xfId="0" applyNumberFormat="1" applyFont="1" applyFill="1"/>
    <xf numFmtId="169" fontId="2" fillId="2" borderId="0" xfId="7" applyNumberFormat="1" applyFont="1" applyFill="1"/>
    <xf numFmtId="169" fontId="50" fillId="2" borderId="0" xfId="7" applyNumberFormat="1" applyFont="1" applyFill="1" applyAlignment="1">
      <alignment vertical="center"/>
    </xf>
    <xf numFmtId="0" fontId="12" fillId="93" borderId="0" xfId="0" applyFont="1" applyFill="1" applyAlignment="1">
      <alignment horizontal="left" vertical="center" wrapText="1"/>
    </xf>
    <xf numFmtId="185" fontId="174" fillId="93" borderId="0" xfId="0" applyNumberFormat="1" applyFont="1" applyFill="1" applyAlignment="1">
      <alignment vertical="center" wrapText="1"/>
    </xf>
    <xf numFmtId="177" fontId="12" fillId="93" borderId="0" xfId="0" applyNumberFormat="1" applyFont="1" applyFill="1" applyAlignment="1">
      <alignment horizontal="right" vertical="center"/>
    </xf>
    <xf numFmtId="182" fontId="47" fillId="93" borderId="135" xfId="0" applyNumberFormat="1" applyFont="1" applyFill="1" applyBorder="1" applyAlignment="1">
      <alignment vertical="center" wrapText="1"/>
    </xf>
    <xf numFmtId="176" fontId="48" fillId="93" borderId="0" xfId="0" applyNumberFormat="1" applyFont="1" applyFill="1" applyAlignment="1">
      <alignment horizontal="right" vertical="center"/>
    </xf>
    <xf numFmtId="177" fontId="43" fillId="93" borderId="0" xfId="0" applyNumberFormat="1" applyFont="1" applyFill="1" applyAlignment="1">
      <alignment horizontal="right" vertical="center"/>
    </xf>
    <xf numFmtId="185" fontId="12" fillId="93" borderId="135" xfId="0" applyNumberFormat="1" applyFont="1" applyFill="1" applyBorder="1"/>
    <xf numFmtId="177" fontId="12" fillId="93" borderId="130" xfId="0" applyNumberFormat="1" applyFont="1" applyFill="1" applyBorder="1" applyAlignment="1">
      <alignment horizontal="right" vertical="center"/>
    </xf>
    <xf numFmtId="177" fontId="243" fillId="93" borderId="0" xfId="0" applyNumberFormat="1" applyFont="1" applyFill="1" applyAlignment="1">
      <alignment horizontal="right" vertical="center"/>
    </xf>
    <xf numFmtId="182" fontId="244" fillId="93" borderId="135" xfId="0" applyNumberFormat="1" applyFont="1" applyFill="1" applyBorder="1" applyAlignment="1">
      <alignment vertical="center" wrapText="1"/>
    </xf>
    <xf numFmtId="0" fontId="31" fillId="93" borderId="0" xfId="0" applyFont="1" applyFill="1" applyAlignment="1">
      <alignment horizontal="left" vertical="center" wrapText="1"/>
    </xf>
    <xf numFmtId="185" fontId="50" fillId="93" borderId="0" xfId="0" applyNumberFormat="1" applyFont="1" applyFill="1" applyAlignment="1">
      <alignment vertical="center" wrapText="1"/>
    </xf>
    <xf numFmtId="177" fontId="31" fillId="93" borderId="0" xfId="0" applyNumberFormat="1" applyFont="1" applyFill="1" applyAlignment="1">
      <alignment horizontal="right" vertical="center"/>
    </xf>
    <xf numFmtId="177" fontId="50" fillId="93" borderId="0" xfId="0" applyNumberFormat="1" applyFont="1" applyFill="1" applyAlignment="1">
      <alignment horizontal="right" vertical="center"/>
    </xf>
    <xf numFmtId="185" fontId="31" fillId="93" borderId="135" xfId="0" applyNumberFormat="1" applyFont="1" applyFill="1" applyBorder="1"/>
    <xf numFmtId="181" fontId="25" fillId="93" borderId="146" xfId="0" applyNumberFormat="1" applyFont="1" applyFill="1" applyBorder="1" applyAlignment="1">
      <alignment horizontal="right" vertical="center"/>
    </xf>
    <xf numFmtId="181" fontId="242" fillId="93" borderId="142" xfId="0" applyNumberFormat="1" applyFont="1" applyFill="1" applyBorder="1" applyAlignment="1">
      <alignment horizontal="right" vertical="center"/>
    </xf>
    <xf numFmtId="181" fontId="25" fillId="93" borderId="147" xfId="0" applyNumberFormat="1" applyFont="1" applyFill="1" applyBorder="1" applyAlignment="1">
      <alignment horizontal="right" vertical="center"/>
    </xf>
    <xf numFmtId="181" fontId="242" fillId="93" borderId="135" xfId="0" applyNumberFormat="1" applyFont="1" applyFill="1" applyBorder="1" applyAlignment="1">
      <alignment horizontal="right" vertical="center"/>
    </xf>
    <xf numFmtId="0" fontId="31" fillId="0" borderId="0" xfId="0" applyFont="1" applyAlignment="1">
      <alignment horizontal="left" vertical="center" wrapText="1"/>
    </xf>
    <xf numFmtId="185" fontId="50" fillId="0" borderId="0" xfId="0" applyNumberFormat="1" applyFont="1" applyAlignment="1">
      <alignment vertical="center" wrapText="1"/>
    </xf>
    <xf numFmtId="182" fontId="47" fillId="0" borderId="135" xfId="0" applyNumberFormat="1" applyFont="1" applyBorder="1" applyAlignment="1">
      <alignment vertical="center" wrapText="1"/>
    </xf>
    <xf numFmtId="177" fontId="50" fillId="0" borderId="0" xfId="0" applyNumberFormat="1" applyFont="1" applyAlignment="1">
      <alignment horizontal="right" vertical="center"/>
    </xf>
    <xf numFmtId="185" fontId="31" fillId="0" borderId="135" xfId="0" applyNumberFormat="1" applyFont="1" applyBorder="1"/>
    <xf numFmtId="177" fontId="12" fillId="0" borderId="130" xfId="0" applyNumberFormat="1" applyFont="1" applyBorder="1" applyAlignment="1">
      <alignment horizontal="right" vertical="center"/>
    </xf>
    <xf numFmtId="219" fontId="31" fillId="0" borderId="0" xfId="0" applyNumberFormat="1" applyFont="1"/>
    <xf numFmtId="169" fontId="12" fillId="0" borderId="0" xfId="7" applyNumberFormat="1" applyFont="1" applyAlignment="1">
      <alignment vertical="center"/>
    </xf>
    <xf numFmtId="169" fontId="28" fillId="2" borderId="0" xfId="7" applyNumberFormat="1" applyFont="1" applyFill="1"/>
    <xf numFmtId="0" fontId="1" fillId="2" borderId="89" xfId="0" applyFont="1" applyFill="1" applyBorder="1" applyAlignment="1">
      <alignment horizontal="left" vertical="center" wrapText="1" indent="4"/>
    </xf>
    <xf numFmtId="0" fontId="1" fillId="2" borderId="93" xfId="0" applyFont="1" applyFill="1" applyBorder="1" applyAlignment="1">
      <alignment horizontal="left" vertical="center" wrapText="1" indent="3"/>
    </xf>
    <xf numFmtId="170" fontId="1" fillId="2" borderId="71" xfId="0" applyNumberFormat="1" applyFont="1" applyFill="1" applyBorder="1" applyAlignment="1">
      <alignment horizontal="right" vertical="center"/>
    </xf>
    <xf numFmtId="170" fontId="49" fillId="2" borderId="71" xfId="0" applyNumberFormat="1" applyFont="1" applyFill="1" applyBorder="1" applyAlignment="1">
      <alignment horizontal="right" vertical="center"/>
    </xf>
    <xf numFmtId="170" fontId="45" fillId="80" borderId="96" xfId="0" applyNumberFormat="1" applyFont="1" applyFill="1" applyBorder="1" applyAlignment="1">
      <alignment vertical="center" wrapText="1"/>
    </xf>
    <xf numFmtId="181" fontId="31" fillId="0" borderId="71" xfId="0" applyNumberFormat="1" applyFont="1" applyBorder="1" applyAlignment="1">
      <alignment horizontal="right" vertical="center"/>
    </xf>
    <xf numFmtId="170" fontId="1" fillId="2" borderId="71" xfId="0" applyNumberFormat="1" applyFont="1" applyFill="1" applyBorder="1" applyAlignment="1">
      <alignment vertical="center"/>
    </xf>
    <xf numFmtId="170" fontId="49" fillId="2" borderId="71" xfId="0" applyNumberFormat="1" applyFont="1" applyFill="1" applyBorder="1" applyAlignment="1">
      <alignment vertical="center"/>
    </xf>
    <xf numFmtId="170" fontId="49" fillId="0" borderId="71" xfId="0" applyNumberFormat="1" applyFont="1" applyBorder="1" applyAlignment="1">
      <alignment vertical="center"/>
    </xf>
    <xf numFmtId="0" fontId="1" fillId="2" borderId="0" xfId="0" applyFont="1" applyFill="1" applyAlignment="1">
      <alignment vertical="center"/>
    </xf>
    <xf numFmtId="0" fontId="1" fillId="0" borderId="0" xfId="0" applyFont="1" applyAlignment="1">
      <alignment vertical="center"/>
    </xf>
    <xf numFmtId="181" fontId="25" fillId="93" borderId="0" xfId="0" applyNumberFormat="1" applyFont="1" applyFill="1" applyAlignment="1">
      <alignment horizontal="right" vertical="center"/>
    </xf>
    <xf numFmtId="177" fontId="31" fillId="78" borderId="0" xfId="0" applyNumberFormat="1" applyFont="1" applyFill="1"/>
    <xf numFmtId="170" fontId="15" fillId="2" borderId="0" xfId="0" applyNumberFormat="1" applyFont="1" applyFill="1" applyAlignment="1">
      <alignment vertical="center"/>
    </xf>
    <xf numFmtId="169" fontId="15" fillId="2" borderId="0" xfId="7" applyNumberFormat="1" applyFont="1" applyFill="1" applyAlignment="1">
      <alignment vertical="center"/>
    </xf>
    <xf numFmtId="182" fontId="12" fillId="0" borderId="0" xfId="42858" applyNumberFormat="1" applyFont="1" applyAlignment="1">
      <alignment vertical="center"/>
    </xf>
    <xf numFmtId="170" fontId="24" fillId="87" borderId="0" xfId="0" applyNumberFormat="1" applyFont="1" applyFill="1" applyAlignment="1">
      <alignment vertical="center"/>
    </xf>
    <xf numFmtId="170" fontId="50" fillId="2" borderId="0" xfId="0" applyNumberFormat="1" applyFont="1" applyFill="1"/>
    <xf numFmtId="169" fontId="50" fillId="2" borderId="0" xfId="7" applyNumberFormat="1" applyFont="1" applyFill="1"/>
    <xf numFmtId="170" fontId="31" fillId="0" borderId="0" xfId="0" applyNumberFormat="1" applyFont="1" applyAlignment="1">
      <alignment vertical="center"/>
    </xf>
    <xf numFmtId="169" fontId="0" fillId="2" borderId="0" xfId="7" applyNumberFormat="1" applyFont="1" applyFill="1" applyAlignment="1">
      <alignment wrapText="1"/>
    </xf>
    <xf numFmtId="169" fontId="0" fillId="0" borderId="0" xfId="7" applyNumberFormat="1" applyFont="1"/>
    <xf numFmtId="169" fontId="31" fillId="78" borderId="0" xfId="7" applyNumberFormat="1" applyFont="1" applyFill="1"/>
    <xf numFmtId="0" fontId="12" fillId="2" borderId="0" xfId="0" applyFont="1" applyFill="1" applyAlignment="1">
      <alignment horizontal="left" vertical="center" wrapText="1"/>
    </xf>
    <xf numFmtId="0" fontId="12" fillId="0" borderId="0" xfId="0" applyFont="1" applyAlignment="1">
      <alignment horizontal="left" vertical="center" wrapText="1"/>
    </xf>
    <xf numFmtId="0" fontId="191" fillId="75" borderId="69" xfId="0" applyFont="1" applyFill="1" applyBorder="1" applyAlignment="1">
      <alignment horizontal="center" vertical="center" wrapText="1"/>
    </xf>
    <xf numFmtId="0" fontId="191" fillId="75" borderId="141" xfId="0" applyFont="1" applyFill="1" applyBorder="1" applyAlignment="1">
      <alignment horizontal="center" vertical="center" wrapText="1"/>
    </xf>
    <xf numFmtId="0" fontId="191" fillId="75" borderId="140" xfId="0" applyFont="1" applyFill="1" applyBorder="1" applyAlignment="1">
      <alignment horizontal="center" vertical="center" wrapText="1"/>
    </xf>
    <xf numFmtId="0" fontId="194" fillId="75" borderId="74" xfId="0" applyFont="1" applyFill="1" applyBorder="1" applyAlignment="1">
      <alignment horizontal="center" vertical="center" wrapText="1"/>
    </xf>
    <xf numFmtId="0" fontId="194" fillId="75" borderId="68" xfId="0" applyFont="1" applyFill="1" applyBorder="1" applyAlignment="1">
      <alignment horizontal="center" vertical="center"/>
    </xf>
    <xf numFmtId="0" fontId="194" fillId="75" borderId="76" xfId="0" applyFont="1" applyFill="1" applyBorder="1" applyAlignment="1">
      <alignment horizontal="center" vertical="center"/>
    </xf>
    <xf numFmtId="0" fontId="194" fillId="75" borderId="68" xfId="0" applyFont="1" applyFill="1" applyBorder="1" applyAlignment="1">
      <alignment horizontal="center" vertical="center" wrapText="1"/>
    </xf>
    <xf numFmtId="0" fontId="194" fillId="75" borderId="76" xfId="0" applyFont="1" applyFill="1" applyBorder="1" applyAlignment="1">
      <alignment horizontal="center" vertical="center" wrapText="1"/>
    </xf>
    <xf numFmtId="0" fontId="194" fillId="75" borderId="0" xfId="0" applyFont="1" applyFill="1" applyAlignment="1">
      <alignment horizontal="center" vertical="center" wrapText="1"/>
    </xf>
    <xf numFmtId="0" fontId="194" fillId="75" borderId="0" xfId="0" applyFont="1" applyFill="1" applyAlignment="1">
      <alignment horizontal="center" vertical="center"/>
    </xf>
    <xf numFmtId="0" fontId="194" fillId="75" borderId="92" xfId="0" applyFont="1" applyFill="1" applyBorder="1" applyAlignment="1">
      <alignment horizontal="center" vertical="center"/>
    </xf>
    <xf numFmtId="0" fontId="194" fillId="75" borderId="97" xfId="0" applyFont="1" applyFill="1" applyBorder="1" applyAlignment="1">
      <alignment horizontal="center" vertical="center" wrapText="1"/>
    </xf>
    <xf numFmtId="0" fontId="194" fillId="75" borderId="92" xfId="0" applyFont="1" applyFill="1" applyBorder="1" applyAlignment="1">
      <alignment horizontal="center" vertical="center" wrapText="1"/>
    </xf>
    <xf numFmtId="0" fontId="191" fillId="75" borderId="68" xfId="0" applyFont="1" applyFill="1" applyBorder="1" applyAlignment="1">
      <alignment horizontal="center" vertical="center" wrapText="1"/>
    </xf>
    <xf numFmtId="0" fontId="194" fillId="75" borderId="103" xfId="20233" applyFont="1" applyFill="1" applyBorder="1" applyAlignment="1">
      <alignment horizontal="center" vertical="center" wrapText="1"/>
    </xf>
    <xf numFmtId="0" fontId="194" fillId="75" borderId="0" xfId="20233" applyFont="1" applyFill="1" applyAlignment="1">
      <alignment horizontal="center" vertical="center" wrapText="1"/>
    </xf>
    <xf numFmtId="0" fontId="194" fillId="75" borderId="104" xfId="20233" applyFont="1" applyFill="1" applyBorder="1" applyAlignment="1">
      <alignment horizontal="center" vertical="center" wrapText="1"/>
    </xf>
    <xf numFmtId="0" fontId="19" fillId="0" borderId="0" xfId="20233" applyFont="1" applyAlignment="1">
      <alignment horizontal="left" vertical="top" wrapText="1"/>
    </xf>
    <xf numFmtId="0" fontId="62" fillId="81" borderId="4" xfId="0" applyFont="1" applyFill="1" applyBorder="1" applyAlignment="1">
      <alignment horizontal="center" vertical="center" wrapText="1"/>
    </xf>
    <xf numFmtId="0" fontId="62" fillId="81" borderId="49" xfId="0" applyFont="1" applyFill="1" applyBorder="1" applyAlignment="1">
      <alignment horizontal="center" vertical="center" wrapText="1"/>
    </xf>
    <xf numFmtId="0" fontId="62" fillId="81" borderId="50" xfId="0" applyFont="1" applyFill="1" applyBorder="1" applyAlignment="1">
      <alignment horizontal="center" vertical="center" wrapText="1"/>
    </xf>
    <xf numFmtId="0" fontId="62" fillId="81" borderId="13" xfId="0" applyFont="1" applyFill="1" applyBorder="1" applyAlignment="1">
      <alignment horizontal="center" vertical="center" wrapText="1"/>
    </xf>
    <xf numFmtId="0" fontId="62" fillId="81" borderId="15" xfId="0" applyFont="1" applyFill="1" applyBorder="1" applyAlignment="1">
      <alignment horizontal="center" vertical="center" wrapText="1"/>
    </xf>
    <xf numFmtId="0" fontId="62" fillId="81" borderId="17" xfId="0" applyFont="1" applyFill="1" applyBorder="1" applyAlignment="1">
      <alignment horizontal="center" vertical="center" wrapText="1"/>
    </xf>
    <xf numFmtId="0" fontId="62" fillId="0" borderId="6" xfId="0" applyFont="1" applyBorder="1" applyAlignment="1">
      <alignment horizontal="center" vertical="center" wrapText="1"/>
    </xf>
    <xf numFmtId="0" fontId="62" fillId="0" borderId="7" xfId="0" applyFont="1" applyBorder="1" applyAlignment="1">
      <alignment horizontal="center" vertical="center" wrapText="1"/>
    </xf>
    <xf numFmtId="0" fontId="62" fillId="0" borderId="50" xfId="0" applyFont="1" applyBorder="1" applyAlignment="1">
      <alignment horizontal="center" vertical="center" wrapText="1"/>
    </xf>
    <xf numFmtId="0" fontId="62" fillId="0" borderId="13" xfId="0" applyFont="1" applyBorder="1" applyAlignment="1">
      <alignment horizontal="center" vertical="center" wrapText="1"/>
    </xf>
    <xf numFmtId="0" fontId="65" fillId="81" borderId="15" xfId="0" applyFont="1" applyFill="1" applyBorder="1" applyAlignment="1">
      <alignment horizontal="center" vertical="center" wrapText="1"/>
    </xf>
    <xf numFmtId="0" fontId="65" fillId="81" borderId="17" xfId="0" applyFont="1" applyFill="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50" xfId="0" applyFont="1" applyBorder="1" applyAlignment="1">
      <alignment horizontal="center" vertical="center" wrapText="1"/>
    </xf>
    <xf numFmtId="0" fontId="15" fillId="0" borderId="13" xfId="0" applyFont="1" applyBorder="1" applyAlignment="1">
      <alignment horizontal="center" vertical="center" wrapText="1"/>
    </xf>
    <xf numFmtId="0" fontId="65" fillId="81" borderId="50" xfId="0" applyFont="1" applyFill="1" applyBorder="1" applyAlignment="1">
      <alignment horizontal="center" vertical="center" wrapText="1"/>
    </xf>
    <xf numFmtId="0" fontId="65" fillId="81" borderId="13" xfId="0" applyFont="1" applyFill="1" applyBorder="1" applyAlignment="1">
      <alignment horizontal="center" vertical="center" wrapText="1"/>
    </xf>
    <xf numFmtId="0" fontId="17" fillId="81" borderId="15" xfId="0" applyFont="1" applyFill="1" applyBorder="1" applyAlignment="1">
      <alignment horizontal="center" vertical="center" wrapText="1"/>
    </xf>
    <xf numFmtId="0" fontId="17" fillId="81" borderId="17" xfId="0" applyFont="1" applyFill="1" applyBorder="1" applyAlignment="1">
      <alignment horizontal="center" vertical="center" wrapText="1"/>
    </xf>
    <xf numFmtId="0" fontId="239" fillId="75" borderId="68" xfId="0" applyFont="1" applyFill="1" applyBorder="1" applyAlignment="1">
      <alignment horizontal="center" vertical="center" wrapText="1"/>
    </xf>
    <xf numFmtId="0" fontId="194" fillId="75" borderId="4" xfId="0" applyFont="1" applyFill="1" applyBorder="1" applyAlignment="1">
      <alignment horizontal="center" vertical="center" wrapText="1"/>
    </xf>
    <xf numFmtId="0" fontId="194" fillId="75" borderId="49" xfId="0" applyFont="1" applyFill="1" applyBorder="1" applyAlignment="1">
      <alignment horizontal="center" vertical="center" wrapText="1"/>
    </xf>
    <xf numFmtId="0" fontId="19" fillId="0" borderId="0" xfId="0" applyFont="1" applyAlignment="1">
      <alignment horizontal="left" vertical="top" wrapText="1"/>
    </xf>
    <xf numFmtId="0" fontId="194" fillId="75" borderId="50" xfId="0" applyFont="1" applyFill="1" applyBorder="1" applyAlignment="1">
      <alignment horizontal="center" vertical="center" wrapText="1"/>
    </xf>
    <xf numFmtId="0" fontId="194" fillId="75" borderId="13" xfId="0" applyFont="1" applyFill="1" applyBorder="1" applyAlignment="1">
      <alignment horizontal="center" vertical="center" wrapText="1"/>
    </xf>
  </cellXfs>
  <cellStyles count="42859">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7" xfId="42855"/>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38" xfId="42857"/>
    <cellStyle name="Normalny 139" xfId="42858"/>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16" xfId="42856"/>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03ACE5"/>
      <color rgb="FF1082BF"/>
      <color rgb="FFE7EEF5"/>
      <color rgb="FFE4EDF8"/>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0</xdr:rowOff>
    </xdr:from>
    <xdr:to>
      <xdr:col>0</xdr:col>
      <xdr:colOff>1076325</xdr:colOff>
      <xdr:row>1</xdr:row>
      <xdr:rowOff>28575</xdr:rowOff>
    </xdr:to>
    <xdr:pic>
      <xdr:nvPicPr>
        <xdr:cNvPr id="3" name="Picture 12" descr="image001">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2" name="Picture 12" descr="image00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drawing" Target="../drawings/drawing9.xml"/><Relationship Id="rId5" Type="http://schemas.openxmlformats.org/officeDocument/2006/relationships/printerSettings" Target="../printerSettings/printerSettings26.bin"/><Relationship Id="rId4"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drawing" Target="../drawings/drawing2.xml"/><Relationship Id="rId5" Type="http://schemas.openxmlformats.org/officeDocument/2006/relationships/printerSettings" Target="../printerSettings/printerSettings6.bin"/><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drawing" Target="../drawings/drawing4.xml"/><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C67"/>
  <sheetViews>
    <sheetView showGridLines="0" tabSelected="1" zoomScale="80" zoomScaleNormal="80" zoomScaleSheetLayoutView="85" workbookViewId="0">
      <pane xSplit="1" ySplit="4" topLeftCell="BS26" activePane="bottomRight" state="frozen"/>
      <selection pane="topRight" activeCell="B1" sqref="B1"/>
      <selection pane="bottomLeft" activeCell="A5" sqref="A5"/>
      <selection pane="bottomRight" activeCell="CC30" sqref="CC30"/>
    </sheetView>
  </sheetViews>
  <sheetFormatPr defaultColWidth="9" defaultRowHeight="28.5" customHeight="1" outlineLevelCol="1"/>
  <cols>
    <col min="1" max="2" width="41.5703125" style="5" customWidth="1"/>
    <col min="3" max="8" width="9" style="4" hidden="1" customWidth="1" outlineLevel="1"/>
    <col min="9" max="9" width="9" style="58" hidden="1" customWidth="1" outlineLevel="1"/>
    <col min="10" max="10" width="9" style="4" hidden="1" customWidth="1" outlineLevel="1"/>
    <col min="11" max="13" width="10.0703125" style="4" hidden="1" customWidth="1" outlineLevel="1"/>
    <col min="14" max="16" width="9.0703125" style="4" hidden="1" customWidth="1" outlineLevel="1"/>
    <col min="17" max="24" width="10.0703125" style="4" hidden="1" customWidth="1" outlineLevel="1"/>
    <col min="25" max="25" width="10.0703125" style="39" hidden="1" customWidth="1" outlineLevel="1"/>
    <col min="26" max="29" width="10.0703125" style="4" hidden="1" customWidth="1" outlineLevel="1"/>
    <col min="30" max="30" width="10.0703125" style="39" hidden="1" customWidth="1" outlineLevel="1"/>
    <col min="31" max="32" width="10.0703125" style="4" hidden="1" customWidth="1" outlineLevel="1"/>
    <col min="33" max="33" width="10.0703125" style="4" hidden="1" customWidth="1" outlineLevel="1" collapsed="1"/>
    <col min="34" max="34" width="10.0703125" style="4" hidden="1" customWidth="1" outlineLevel="1"/>
    <col min="35" max="35" width="10.0703125" style="39" hidden="1" customWidth="1" outlineLevel="1"/>
    <col min="36" max="36" width="10.0703125" style="4" hidden="1" customWidth="1" outlineLevel="1"/>
    <col min="37" max="37" width="10.0703125" style="91" hidden="1" customWidth="1" outlineLevel="1"/>
    <col min="38" max="38" width="4" hidden="1" customWidth="1" outlineLevel="1"/>
    <col min="39" max="40" width="10.0703125" style="4" hidden="1" customWidth="1" outlineLevel="1"/>
    <col min="41" max="41" width="10.0703125" style="39" hidden="1" customWidth="1" outlineLevel="1"/>
    <col min="42" max="45" width="10.0703125" style="4" hidden="1" customWidth="1" outlineLevel="1"/>
    <col min="46" max="46" width="10.0703125" style="39" hidden="1" customWidth="1" outlineLevel="1"/>
    <col min="47" max="50" width="10.0703125" style="4" hidden="1" customWidth="1" outlineLevel="1"/>
    <col min="51" max="51" width="10.0703125" style="39" hidden="1" customWidth="1" outlineLevel="1"/>
    <col min="52" max="55" width="10.0703125" style="4" hidden="1" customWidth="1" outlineLevel="1"/>
    <col min="56" max="56" width="10.0703125" style="39" hidden="1" customWidth="1" outlineLevel="1"/>
    <col min="57" max="57" width="10.0703125" style="4" hidden="1" customWidth="1" outlineLevel="1"/>
    <col min="58" max="58" width="10.0703125" style="637" hidden="1" customWidth="1" outlineLevel="1"/>
    <col min="59" max="60" width="10.0703125" style="4" hidden="1" customWidth="1" outlineLevel="1"/>
    <col min="61" max="61" width="10.0703125" style="39" hidden="1" customWidth="1" outlineLevel="1"/>
    <col min="62" max="62" width="10.0703125" style="4" hidden="1" customWidth="1" outlineLevel="1"/>
    <col min="63" max="63" width="10.0703125" style="631" hidden="1" customWidth="1" outlineLevel="1"/>
    <col min="64" max="65" width="10.0703125" style="4" hidden="1" customWidth="1" outlineLevel="1"/>
    <col min="66" max="66" width="10.0703125" style="39" hidden="1" customWidth="1" outlineLevel="1"/>
    <col min="67" max="67" width="10.0703125" style="4" hidden="1" customWidth="1" outlineLevel="1"/>
    <col min="68" max="68" width="10.0703125" style="631" hidden="1" customWidth="1" outlineLevel="1"/>
    <col min="69" max="69" width="10.0703125" style="4" customWidth="1" collapsed="1"/>
    <col min="70" max="70" width="10.0703125" style="4" customWidth="1"/>
    <col min="71" max="71" width="10.0703125" style="39" customWidth="1"/>
    <col min="72" max="72" width="10.0703125" style="4" customWidth="1"/>
    <col min="73" max="16384" width="9" style="5"/>
  </cols>
  <sheetData>
    <row r="1" spans="1:92" s="7" customFormat="1" ht="89.25" customHeight="1">
      <c r="A1" s="176"/>
      <c r="B1" s="3"/>
      <c r="C1" s="6"/>
      <c r="D1" s="6"/>
      <c r="E1" s="6"/>
      <c r="F1" s="6"/>
      <c r="G1" s="6"/>
      <c r="H1" s="6"/>
      <c r="I1" s="47"/>
      <c r="J1" s="6"/>
      <c r="K1" s="6"/>
      <c r="L1" s="6"/>
      <c r="M1" s="6"/>
      <c r="N1" s="6"/>
      <c r="O1" s="6"/>
      <c r="P1" s="6"/>
      <c r="Q1" s="6"/>
      <c r="R1" s="6"/>
      <c r="S1" s="6"/>
      <c r="T1" s="6"/>
      <c r="U1" s="48"/>
      <c r="V1" s="48"/>
      <c r="W1" s="48"/>
      <c r="X1" s="48"/>
      <c r="Y1" s="782"/>
      <c r="Z1" s="48"/>
      <c r="AA1" s="48"/>
      <c r="AB1" s="48"/>
      <c r="AC1" s="48"/>
      <c r="AD1" s="782"/>
      <c r="AE1" s="48"/>
      <c r="AF1" s="48"/>
      <c r="AG1" s="48"/>
      <c r="AH1" s="49"/>
      <c r="AI1" s="782"/>
      <c r="AJ1" s="48"/>
      <c r="AK1" s="88"/>
      <c r="AM1" s="48"/>
      <c r="AN1" s="48"/>
      <c r="AO1" s="782"/>
      <c r="AP1" s="48"/>
      <c r="AQ1" s="48"/>
      <c r="AR1" s="48"/>
      <c r="AS1" s="48"/>
      <c r="AT1" s="782"/>
      <c r="AU1" s="48"/>
      <c r="AV1" s="48"/>
      <c r="AW1" s="48"/>
      <c r="AX1" s="48"/>
      <c r="AY1" s="782"/>
      <c r="AZ1" s="48"/>
      <c r="BA1" s="48"/>
      <c r="BB1" s="48"/>
      <c r="BC1" s="48"/>
      <c r="BD1" s="782"/>
      <c r="BE1" s="48"/>
      <c r="BF1" s="632"/>
      <c r="BG1" s="48"/>
      <c r="BH1" s="48"/>
      <c r="BI1" s="782"/>
      <c r="BJ1" s="48"/>
      <c r="BK1" s="627"/>
      <c r="BL1" s="48"/>
      <c r="BM1" s="48"/>
      <c r="BN1" s="782"/>
      <c r="BO1" s="654"/>
      <c r="BP1" s="627"/>
      <c r="BQ1" s="48"/>
      <c r="BR1" s="48"/>
      <c r="BS1" s="782"/>
      <c r="BT1" s="654"/>
    </row>
    <row r="2" spans="1:92" s="413" customFormat="1" ht="32.15" customHeight="1">
      <c r="A2" s="449" t="s">
        <v>0</v>
      </c>
      <c r="B2" s="843" t="s">
        <v>1</v>
      </c>
      <c r="C2" s="954">
        <v>2012</v>
      </c>
      <c r="D2" s="954"/>
      <c r="E2" s="954"/>
      <c r="F2" s="954"/>
      <c r="G2" s="955"/>
      <c r="H2" s="954">
        <v>2013</v>
      </c>
      <c r="I2" s="954"/>
      <c r="J2" s="954"/>
      <c r="K2" s="954"/>
      <c r="L2" s="955"/>
      <c r="M2" s="954">
        <v>2014</v>
      </c>
      <c r="N2" s="954"/>
      <c r="O2" s="954"/>
      <c r="P2" s="954"/>
      <c r="Q2" s="955"/>
      <c r="R2" s="954">
        <v>2015</v>
      </c>
      <c r="S2" s="954"/>
      <c r="T2" s="954"/>
      <c r="U2" s="954"/>
      <c r="V2" s="955"/>
      <c r="W2" s="954">
        <v>2016</v>
      </c>
      <c r="X2" s="954"/>
      <c r="Y2" s="954"/>
      <c r="Z2" s="954"/>
      <c r="AA2" s="955"/>
      <c r="AB2" s="954">
        <v>2017</v>
      </c>
      <c r="AC2" s="954"/>
      <c r="AD2" s="954"/>
      <c r="AE2" s="954"/>
      <c r="AF2" s="955"/>
      <c r="AG2" s="954" t="s">
        <v>2</v>
      </c>
      <c r="AH2" s="954"/>
      <c r="AI2" s="954"/>
      <c r="AJ2" s="954"/>
      <c r="AK2" s="954"/>
      <c r="AL2" s="844"/>
      <c r="AM2" s="954" t="s">
        <v>3</v>
      </c>
      <c r="AN2" s="954"/>
      <c r="AO2" s="954"/>
      <c r="AP2" s="954"/>
      <c r="AQ2" s="955"/>
      <c r="AR2" s="954" t="s">
        <v>4</v>
      </c>
      <c r="AS2" s="954"/>
      <c r="AT2" s="954"/>
      <c r="AU2" s="954"/>
      <c r="AV2" s="955"/>
      <c r="AW2" s="954" t="s">
        <v>5</v>
      </c>
      <c r="AX2" s="954"/>
      <c r="AY2" s="954"/>
      <c r="AZ2" s="954"/>
      <c r="BA2" s="955"/>
      <c r="BB2" s="954" t="s">
        <v>6</v>
      </c>
      <c r="BC2" s="954"/>
      <c r="BD2" s="954"/>
      <c r="BE2" s="954"/>
      <c r="BF2" s="955"/>
      <c r="BG2" s="954" t="s">
        <v>7</v>
      </c>
      <c r="BH2" s="954"/>
      <c r="BI2" s="954"/>
      <c r="BJ2" s="954"/>
      <c r="BK2" s="955"/>
      <c r="BL2" s="954" t="s">
        <v>8</v>
      </c>
      <c r="BM2" s="954"/>
      <c r="BN2" s="954"/>
      <c r="BO2" s="954"/>
      <c r="BP2" s="955"/>
      <c r="BQ2" s="954" t="s">
        <v>9</v>
      </c>
      <c r="BR2" s="954"/>
      <c r="BS2" s="954"/>
      <c r="BT2" s="954"/>
      <c r="BU2" s="956"/>
      <c r="BV2" s="954" t="s">
        <v>10</v>
      </c>
      <c r="BW2" s="954"/>
      <c r="BX2" s="954"/>
      <c r="BY2" s="954"/>
      <c r="BZ2" s="955"/>
      <c r="CA2" s="954" t="s">
        <v>796</v>
      </c>
      <c r="CB2" s="954"/>
      <c r="CC2" s="954"/>
      <c r="CD2" s="954"/>
      <c r="CE2" s="955"/>
    </row>
    <row r="3" spans="1:92" s="413" customFormat="1" ht="32.15" customHeight="1">
      <c r="A3" s="384"/>
      <c r="B3" s="856"/>
      <c r="C3" s="954"/>
      <c r="D3" s="954"/>
      <c r="E3" s="954"/>
      <c r="F3" s="954"/>
      <c r="G3" s="955"/>
      <c r="H3" s="954"/>
      <c r="I3" s="954"/>
      <c r="J3" s="954"/>
      <c r="K3" s="954"/>
      <c r="L3" s="955"/>
      <c r="M3" s="954"/>
      <c r="N3" s="954"/>
      <c r="O3" s="954"/>
      <c r="P3" s="954"/>
      <c r="Q3" s="955"/>
      <c r="R3" s="954"/>
      <c r="S3" s="954"/>
      <c r="T3" s="954"/>
      <c r="U3" s="954"/>
      <c r="V3" s="955"/>
      <c r="W3" s="954"/>
      <c r="X3" s="954"/>
      <c r="Y3" s="954"/>
      <c r="Z3" s="954"/>
      <c r="AA3" s="955"/>
      <c r="AB3" s="954"/>
      <c r="AC3" s="954"/>
      <c r="AD3" s="954"/>
      <c r="AE3" s="954"/>
      <c r="AF3" s="955"/>
      <c r="AG3" s="954" t="s">
        <v>11</v>
      </c>
      <c r="AH3" s="954"/>
      <c r="AI3" s="954"/>
      <c r="AJ3" s="954"/>
      <c r="AK3" s="954"/>
      <c r="AL3" s="844"/>
      <c r="AM3" s="954" t="s">
        <v>12</v>
      </c>
      <c r="AN3" s="954"/>
      <c r="AO3" s="954"/>
      <c r="AP3" s="954"/>
      <c r="AQ3" s="955"/>
      <c r="AR3" s="954" t="s">
        <v>13</v>
      </c>
      <c r="AS3" s="954"/>
      <c r="AT3" s="954"/>
      <c r="AU3" s="954"/>
      <c r="AV3" s="955"/>
      <c r="AW3" s="954" t="s">
        <v>14</v>
      </c>
      <c r="AX3" s="954"/>
      <c r="AY3" s="954"/>
      <c r="AZ3" s="954"/>
      <c r="BA3" s="955"/>
      <c r="BB3" s="954" t="s">
        <v>15</v>
      </c>
      <c r="BC3" s="954"/>
      <c r="BD3" s="954"/>
      <c r="BE3" s="954"/>
      <c r="BF3" s="955"/>
      <c r="BG3" s="954" t="s">
        <v>16</v>
      </c>
      <c r="BH3" s="954"/>
      <c r="BI3" s="954"/>
      <c r="BJ3" s="954"/>
      <c r="BK3" s="955"/>
      <c r="BL3" s="954" t="s">
        <v>17</v>
      </c>
      <c r="BM3" s="954"/>
      <c r="BN3" s="954"/>
      <c r="BO3" s="954"/>
      <c r="BP3" s="955"/>
      <c r="BQ3" s="954" t="s">
        <v>18</v>
      </c>
      <c r="BR3" s="954"/>
      <c r="BS3" s="954"/>
      <c r="BT3" s="954"/>
      <c r="BU3" s="956"/>
      <c r="BV3" s="954" t="s">
        <v>19</v>
      </c>
      <c r="BW3" s="954"/>
      <c r="BX3" s="954"/>
      <c r="BY3" s="954"/>
      <c r="BZ3" s="955"/>
      <c r="CA3" s="954" t="s">
        <v>797</v>
      </c>
      <c r="CB3" s="954"/>
      <c r="CC3" s="954"/>
      <c r="CD3" s="954"/>
      <c r="CE3" s="955"/>
    </row>
    <row r="4" spans="1:92" s="418" customFormat="1" ht="16.5" customHeight="1">
      <c r="A4" s="857" t="s">
        <v>20</v>
      </c>
      <c r="B4" s="857" t="s">
        <v>20</v>
      </c>
      <c r="C4" s="386" t="s">
        <v>21</v>
      </c>
      <c r="D4" s="386" t="s">
        <v>22</v>
      </c>
      <c r="E4" s="386" t="s">
        <v>23</v>
      </c>
      <c r="F4" s="386" t="s">
        <v>24</v>
      </c>
      <c r="G4" s="839">
        <v>2012</v>
      </c>
      <c r="H4" s="386" t="s">
        <v>21</v>
      </c>
      <c r="I4" s="386" t="s">
        <v>22</v>
      </c>
      <c r="J4" s="386" t="s">
        <v>23</v>
      </c>
      <c r="K4" s="386" t="s">
        <v>24</v>
      </c>
      <c r="L4" s="839">
        <v>2013</v>
      </c>
      <c r="M4" s="386" t="s">
        <v>21</v>
      </c>
      <c r="N4" s="386" t="s">
        <v>22</v>
      </c>
      <c r="O4" s="386" t="s">
        <v>23</v>
      </c>
      <c r="P4" s="386" t="s">
        <v>24</v>
      </c>
      <c r="Q4" s="839">
        <v>2014</v>
      </c>
      <c r="R4" s="386" t="s">
        <v>21</v>
      </c>
      <c r="S4" s="386" t="s">
        <v>22</v>
      </c>
      <c r="T4" s="386" t="s">
        <v>23</v>
      </c>
      <c r="U4" s="386" t="s">
        <v>24</v>
      </c>
      <c r="V4" s="839">
        <v>2015</v>
      </c>
      <c r="W4" s="386" t="s">
        <v>25</v>
      </c>
      <c r="X4" s="386" t="s">
        <v>22</v>
      </c>
      <c r="Y4" s="387" t="s">
        <v>23</v>
      </c>
      <c r="Z4" s="386" t="s">
        <v>24</v>
      </c>
      <c r="AA4" s="839" t="s">
        <v>26</v>
      </c>
      <c r="AB4" s="386" t="s">
        <v>21</v>
      </c>
      <c r="AC4" s="386" t="s">
        <v>22</v>
      </c>
      <c r="AD4" s="387" t="s">
        <v>23</v>
      </c>
      <c r="AE4" s="386" t="s">
        <v>24</v>
      </c>
      <c r="AF4" s="839">
        <v>2017</v>
      </c>
      <c r="AG4" s="386" t="s">
        <v>21</v>
      </c>
      <c r="AH4" s="386" t="s">
        <v>22</v>
      </c>
      <c r="AI4" s="387" t="s">
        <v>23</v>
      </c>
      <c r="AJ4" s="386" t="s">
        <v>24</v>
      </c>
      <c r="AK4" s="839">
        <v>2018</v>
      </c>
      <c r="AL4" s="845"/>
      <c r="AM4" s="386" t="s">
        <v>21</v>
      </c>
      <c r="AN4" s="386" t="s">
        <v>22</v>
      </c>
      <c r="AO4" s="387" t="s">
        <v>23</v>
      </c>
      <c r="AP4" s="386" t="s">
        <v>24</v>
      </c>
      <c r="AQ4" s="839">
        <v>2018</v>
      </c>
      <c r="AR4" s="386" t="s">
        <v>21</v>
      </c>
      <c r="AS4" s="386" t="s">
        <v>22</v>
      </c>
      <c r="AT4" s="387" t="s">
        <v>23</v>
      </c>
      <c r="AU4" s="386" t="s">
        <v>24</v>
      </c>
      <c r="AV4" s="839" t="s">
        <v>27</v>
      </c>
      <c r="AW4" s="386" t="s">
        <v>21</v>
      </c>
      <c r="AX4" s="386" t="s">
        <v>22</v>
      </c>
      <c r="AY4" s="387" t="s">
        <v>23</v>
      </c>
      <c r="AZ4" s="386" t="s">
        <v>24</v>
      </c>
      <c r="BA4" s="839" t="s">
        <v>27</v>
      </c>
      <c r="BB4" s="386" t="s">
        <v>21</v>
      </c>
      <c r="BC4" s="386" t="s">
        <v>22</v>
      </c>
      <c r="BD4" s="387" t="s">
        <v>23</v>
      </c>
      <c r="BE4" s="386" t="s">
        <v>24</v>
      </c>
      <c r="BF4" s="839" t="s">
        <v>28</v>
      </c>
      <c r="BG4" s="386" t="s">
        <v>21</v>
      </c>
      <c r="BH4" s="386" t="s">
        <v>22</v>
      </c>
      <c r="BI4" s="387" t="s">
        <v>23</v>
      </c>
      <c r="BJ4" s="386" t="s">
        <v>24</v>
      </c>
      <c r="BK4" s="839" t="s">
        <v>29</v>
      </c>
      <c r="BL4" s="386" t="s">
        <v>21</v>
      </c>
      <c r="BM4" s="386" t="s">
        <v>22</v>
      </c>
      <c r="BN4" s="387" t="s">
        <v>23</v>
      </c>
      <c r="BO4" s="386" t="s">
        <v>24</v>
      </c>
      <c r="BP4" s="828" t="s">
        <v>30</v>
      </c>
      <c r="BQ4" s="840" t="s">
        <v>21</v>
      </c>
      <c r="BR4" s="840" t="s">
        <v>22</v>
      </c>
      <c r="BS4" s="841" t="s">
        <v>23</v>
      </c>
      <c r="BT4" s="840" t="s">
        <v>24</v>
      </c>
      <c r="BU4" s="842">
        <v>2023</v>
      </c>
      <c r="BV4" s="386" t="s">
        <v>21</v>
      </c>
      <c r="BW4" s="386" t="s">
        <v>22</v>
      </c>
      <c r="BX4" s="387" t="s">
        <v>23</v>
      </c>
      <c r="BY4" s="386" t="s">
        <v>24</v>
      </c>
      <c r="BZ4" s="829">
        <v>2024</v>
      </c>
      <c r="CA4" s="386" t="s">
        <v>21</v>
      </c>
      <c r="CB4" s="386" t="s">
        <v>22</v>
      </c>
      <c r="CC4" s="387" t="s">
        <v>23</v>
      </c>
      <c r="CD4" s="386" t="s">
        <v>24</v>
      </c>
      <c r="CE4" s="829">
        <v>2025</v>
      </c>
    </row>
    <row r="5" spans="1:92" s="378" customFormat="1" ht="34.5" customHeight="1">
      <c r="A5" s="858" t="s">
        <v>31</v>
      </c>
      <c r="B5" s="858" t="s">
        <v>32</v>
      </c>
      <c r="C5" s="656">
        <f t="shared" ref="C5:AK5" si="0">SUM(C6:C10)</f>
        <v>669.2</v>
      </c>
      <c r="D5" s="656">
        <f t="shared" si="0"/>
        <v>713.8</v>
      </c>
      <c r="E5" s="656">
        <f t="shared" si="0"/>
        <v>644.5</v>
      </c>
      <c r="F5" s="656">
        <f t="shared" si="0"/>
        <v>750.60000000000014</v>
      </c>
      <c r="G5" s="832">
        <f t="shared" si="0"/>
        <v>2778.0999999999995</v>
      </c>
      <c r="H5" s="656">
        <f t="shared" si="0"/>
        <v>697.1</v>
      </c>
      <c r="I5" s="656">
        <f t="shared" si="0"/>
        <v>735.9</v>
      </c>
      <c r="J5" s="656">
        <f t="shared" si="0"/>
        <v>677.3</v>
      </c>
      <c r="K5" s="656">
        <f t="shared" si="0"/>
        <v>800.5</v>
      </c>
      <c r="L5" s="832">
        <f t="shared" si="0"/>
        <v>2910.8</v>
      </c>
      <c r="M5" s="656">
        <f t="shared" si="0"/>
        <v>723.29999999999984</v>
      </c>
      <c r="N5" s="656">
        <f t="shared" si="0"/>
        <v>1745.9</v>
      </c>
      <c r="O5" s="656">
        <f t="shared" si="0"/>
        <v>2419.6</v>
      </c>
      <c r="P5" s="656">
        <f t="shared" si="0"/>
        <v>2521.1000000000004</v>
      </c>
      <c r="Q5" s="832">
        <f t="shared" si="0"/>
        <v>7409.9</v>
      </c>
      <c r="R5" s="656">
        <f t="shared" si="0"/>
        <v>2329</v>
      </c>
      <c r="S5" s="656">
        <f t="shared" si="0"/>
        <v>2469.1999999999998</v>
      </c>
      <c r="T5" s="656">
        <f t="shared" si="0"/>
        <v>2414.8999999999996</v>
      </c>
      <c r="U5" s="656">
        <f t="shared" si="0"/>
        <v>2609.9</v>
      </c>
      <c r="V5" s="832">
        <f t="shared" si="0"/>
        <v>9823</v>
      </c>
      <c r="W5" s="656">
        <f t="shared" si="0"/>
        <v>2364</v>
      </c>
      <c r="X5" s="656">
        <f t="shared" si="0"/>
        <v>2442.9</v>
      </c>
      <c r="Y5" s="657">
        <f t="shared" si="0"/>
        <v>2387.8000000000002</v>
      </c>
      <c r="Z5" s="657">
        <f t="shared" si="0"/>
        <v>2535.1</v>
      </c>
      <c r="AA5" s="832">
        <f t="shared" si="0"/>
        <v>9729.7999999999993</v>
      </c>
      <c r="AB5" s="656">
        <f t="shared" si="0"/>
        <v>2388.6</v>
      </c>
      <c r="AC5" s="656">
        <f t="shared" si="0"/>
        <v>2469.9</v>
      </c>
      <c r="AD5" s="656">
        <f t="shared" si="0"/>
        <v>2390.9</v>
      </c>
      <c r="AE5" s="656">
        <f t="shared" si="0"/>
        <v>2579.1999999999998</v>
      </c>
      <c r="AF5" s="832">
        <f t="shared" si="0"/>
        <v>9828.6</v>
      </c>
      <c r="AG5" s="656">
        <f t="shared" si="0"/>
        <v>2360.6999999999998</v>
      </c>
      <c r="AH5" s="656">
        <f t="shared" si="0"/>
        <v>2476.9</v>
      </c>
      <c r="AI5" s="656">
        <f t="shared" si="0"/>
        <v>2435.4</v>
      </c>
      <c r="AJ5" s="658">
        <f t="shared" si="0"/>
        <v>2682</v>
      </c>
      <c r="AK5" s="832">
        <f t="shared" si="0"/>
        <v>9955</v>
      </c>
      <c r="AL5" s="846"/>
      <c r="AM5" s="656">
        <f t="shared" ref="AM5:BR5" si="1">SUM(AM6:AM10)</f>
        <v>2345.9</v>
      </c>
      <c r="AN5" s="656">
        <f t="shared" si="1"/>
        <v>2603.1999999999998</v>
      </c>
      <c r="AO5" s="656">
        <f t="shared" si="1"/>
        <v>2735</v>
      </c>
      <c r="AP5" s="658">
        <f t="shared" si="1"/>
        <v>3002</v>
      </c>
      <c r="AQ5" s="832">
        <f t="shared" si="1"/>
        <v>10686.100000000002</v>
      </c>
      <c r="AR5" s="656">
        <f t="shared" si="1"/>
        <v>2782.4</v>
      </c>
      <c r="AS5" s="656">
        <f t="shared" si="1"/>
        <v>2913</v>
      </c>
      <c r="AT5" s="656">
        <f t="shared" si="1"/>
        <v>2882.3</v>
      </c>
      <c r="AU5" s="656">
        <f t="shared" si="1"/>
        <v>3059.0000000000005</v>
      </c>
      <c r="AV5" s="832">
        <f t="shared" si="1"/>
        <v>11636.7</v>
      </c>
      <c r="AW5" s="656">
        <f t="shared" si="1"/>
        <v>2791.6</v>
      </c>
      <c r="AX5" s="656">
        <f t="shared" si="1"/>
        <v>2923</v>
      </c>
      <c r="AY5" s="656">
        <f t="shared" si="1"/>
        <v>2892.4</v>
      </c>
      <c r="AZ5" s="656">
        <f t="shared" si="1"/>
        <v>3069.1000000000004</v>
      </c>
      <c r="BA5" s="832">
        <f t="shared" si="1"/>
        <v>11676.1</v>
      </c>
      <c r="BB5" s="656">
        <f t="shared" si="1"/>
        <v>2848.4999999999995</v>
      </c>
      <c r="BC5" s="656">
        <f t="shared" si="1"/>
        <v>2862.7000000000003</v>
      </c>
      <c r="BD5" s="656">
        <f t="shared" si="1"/>
        <v>3003.5</v>
      </c>
      <c r="BE5" s="656">
        <f t="shared" si="1"/>
        <v>3248.2000000000003</v>
      </c>
      <c r="BF5" s="832">
        <f t="shared" si="1"/>
        <v>11962.9</v>
      </c>
      <c r="BG5" s="656">
        <f t="shared" si="1"/>
        <v>2987.4</v>
      </c>
      <c r="BH5" s="656">
        <f t="shared" si="1"/>
        <v>3159.7000000000003</v>
      </c>
      <c r="BI5" s="656">
        <f t="shared" si="1"/>
        <v>3031.9</v>
      </c>
      <c r="BJ5" s="656">
        <f t="shared" si="1"/>
        <v>3265</v>
      </c>
      <c r="BK5" s="832">
        <f t="shared" si="1"/>
        <v>12443.999999999998</v>
      </c>
      <c r="BL5" s="656">
        <f t="shared" si="1"/>
        <v>2986.7000000000003</v>
      </c>
      <c r="BM5" s="656">
        <f t="shared" si="1"/>
        <v>3228.1</v>
      </c>
      <c r="BN5" s="656">
        <f>SUM(BN6:BN10)</f>
        <v>3270.9000000000005</v>
      </c>
      <c r="BO5" s="656">
        <f t="shared" si="1"/>
        <v>3429.5999999999995</v>
      </c>
      <c r="BP5" s="832">
        <f t="shared" si="1"/>
        <v>12915.3</v>
      </c>
      <c r="BQ5" s="656">
        <f t="shared" si="1"/>
        <v>3199.3</v>
      </c>
      <c r="BR5" s="656">
        <f t="shared" si="1"/>
        <v>3289.8</v>
      </c>
      <c r="BS5" s="656">
        <f>SUM(BS6:BS10)</f>
        <v>3455.7</v>
      </c>
      <c r="BT5" s="656">
        <f>SUM(BT6:BT10)</f>
        <v>3681.4999999999995</v>
      </c>
      <c r="BU5" s="832">
        <f>SUM(BU6:BU10)</f>
        <v>13626.300000000001</v>
      </c>
      <c r="BV5" s="656">
        <f t="shared" ref="BV5:BY5" si="2">SUM(BV6:BV10)</f>
        <v>3404.9986297200007</v>
      </c>
      <c r="BW5" s="707">
        <f t="shared" si="2"/>
        <v>3454.3000000000006</v>
      </c>
      <c r="BX5" s="707">
        <f t="shared" si="2"/>
        <v>3579.4999999999995</v>
      </c>
      <c r="BY5" s="656">
        <f t="shared" si="2"/>
        <v>3827.1</v>
      </c>
      <c r="BZ5" s="832">
        <f>SUM(BZ6:BZ10)</f>
        <v>14265.898629720001</v>
      </c>
      <c r="CA5" s="656">
        <f t="shared" ref="CA5" si="3">SUM(CA6:CA10)</f>
        <v>3530.2000000000003</v>
      </c>
      <c r="CB5" s="707"/>
      <c r="CC5" s="707"/>
      <c r="CD5" s="656"/>
      <c r="CE5" s="832">
        <f>SUM(CE6:CE10)</f>
        <v>3530.2000000000003</v>
      </c>
      <c r="CG5" s="951"/>
      <c r="CH5" s="714"/>
    </row>
    <row r="6" spans="1:92" ht="30" customHeight="1">
      <c r="A6" s="868" t="s">
        <v>33</v>
      </c>
      <c r="B6" s="859" t="s">
        <v>34</v>
      </c>
      <c r="C6" s="654">
        <v>424</v>
      </c>
      <c r="D6" s="49">
        <v>427.1</v>
      </c>
      <c r="E6" s="49">
        <v>434.4</v>
      </c>
      <c r="F6" s="49">
        <v>446.6</v>
      </c>
      <c r="G6" s="835">
        <f>SUM(C6:F6)</f>
        <v>1732.1</v>
      </c>
      <c r="H6" s="654">
        <v>451.7</v>
      </c>
      <c r="I6" s="49">
        <v>452</v>
      </c>
      <c r="J6" s="49">
        <v>460.3</v>
      </c>
      <c r="K6" s="49">
        <v>466.1</v>
      </c>
      <c r="L6" s="835">
        <f>SUM(H6:K6)</f>
        <v>1830.1</v>
      </c>
      <c r="M6" s="654">
        <v>467.79999999999995</v>
      </c>
      <c r="N6" s="49">
        <v>1204.5</v>
      </c>
      <c r="O6" s="49">
        <v>1710.7</v>
      </c>
      <c r="P6" s="49">
        <v>1701.7</v>
      </c>
      <c r="Q6" s="835">
        <f>SUM(M6:P6)</f>
        <v>5084.7</v>
      </c>
      <c r="R6" s="654">
        <v>1637.2</v>
      </c>
      <c r="S6" s="49">
        <v>1652</v>
      </c>
      <c r="T6" s="49">
        <v>1643.3</v>
      </c>
      <c r="U6" s="652">
        <v>1620.6</v>
      </c>
      <c r="V6" s="835">
        <v>6553.1</v>
      </c>
      <c r="W6" s="654">
        <v>1565.7</v>
      </c>
      <c r="X6" s="653">
        <v>1586.9</v>
      </c>
      <c r="Y6" s="654">
        <v>1583.7</v>
      </c>
      <c r="Z6" s="652">
        <v>1589</v>
      </c>
      <c r="AA6" s="835">
        <f>SUM(W6:Z6)</f>
        <v>6325.3</v>
      </c>
      <c r="AB6" s="654">
        <v>1542.7</v>
      </c>
      <c r="AC6" s="653">
        <v>1533.3</v>
      </c>
      <c r="AD6" s="654">
        <v>1494</v>
      </c>
      <c r="AE6" s="654">
        <v>1497.9</v>
      </c>
      <c r="AF6" s="835">
        <f>SUM(AB6:AE6)</f>
        <v>6067.9</v>
      </c>
      <c r="AG6" s="654">
        <v>1470.2</v>
      </c>
      <c r="AH6" s="49">
        <v>1483.8</v>
      </c>
      <c r="AI6" s="49">
        <v>1481.7</v>
      </c>
      <c r="AJ6" s="654">
        <v>1484.8</v>
      </c>
      <c r="AK6" s="835">
        <f>SUM(AG6:AJ6)</f>
        <v>5920.5</v>
      </c>
      <c r="AL6" s="847"/>
      <c r="AM6" s="653">
        <v>1352.2</v>
      </c>
      <c r="AN6" s="49">
        <v>1482.1</v>
      </c>
      <c r="AO6" s="49">
        <v>1630.5</v>
      </c>
      <c r="AP6" s="654">
        <v>1627.8000000000002</v>
      </c>
      <c r="AQ6" s="835">
        <f>SUM(AM6:AP6)</f>
        <v>6092.6</v>
      </c>
      <c r="AR6" s="654">
        <v>1606</v>
      </c>
      <c r="AS6" s="49">
        <v>1616.1</v>
      </c>
      <c r="AT6" s="49">
        <v>1618.3</v>
      </c>
      <c r="AU6" s="654">
        <v>1618.4</v>
      </c>
      <c r="AV6" s="835">
        <f>SUM(AR6:AU6)</f>
        <v>6458.7999999999993</v>
      </c>
      <c r="AW6" s="654">
        <v>1606</v>
      </c>
      <c r="AX6" s="49">
        <v>1616.1</v>
      </c>
      <c r="AY6" s="49">
        <v>1618.3</v>
      </c>
      <c r="AZ6" s="654">
        <v>1618.4</v>
      </c>
      <c r="BA6" s="835">
        <f>SUM(AW6:AZ6)</f>
        <v>6458.7999999999993</v>
      </c>
      <c r="BB6" s="654">
        <v>1604.5</v>
      </c>
      <c r="BC6" s="49">
        <v>1592</v>
      </c>
      <c r="BD6" s="49">
        <v>1623.8</v>
      </c>
      <c r="BE6" s="654">
        <v>1660.1</v>
      </c>
      <c r="BF6" s="835">
        <f>SUM(BB6:BE6)</f>
        <v>6480.4</v>
      </c>
      <c r="BG6" s="654">
        <v>1664.1</v>
      </c>
      <c r="BH6" s="49">
        <v>1664.8</v>
      </c>
      <c r="BI6" s="49">
        <v>1707.4</v>
      </c>
      <c r="BJ6" s="654">
        <v>1730.7</v>
      </c>
      <c r="BK6" s="835">
        <f>SUM(BG6:BJ6)</f>
        <v>6766.9999999999991</v>
      </c>
      <c r="BL6" s="654">
        <v>1722.2</v>
      </c>
      <c r="BM6" s="49">
        <v>1725.8</v>
      </c>
      <c r="BN6" s="49">
        <v>1753.3000000000002</v>
      </c>
      <c r="BO6" s="654">
        <f>6952.1-BN6-BM6-BL6</f>
        <v>1750.8</v>
      </c>
      <c r="BP6" s="835">
        <f>SUM(BL6:BO6)</f>
        <v>6952.1</v>
      </c>
      <c r="BQ6" s="724">
        <v>1733.8</v>
      </c>
      <c r="BR6" s="725">
        <v>1734.8</v>
      </c>
      <c r="BS6" s="49">
        <v>1754.8</v>
      </c>
      <c r="BT6" s="49">
        <v>1763.7</v>
      </c>
      <c r="BU6" s="835">
        <f>SUM(BQ6:BT6)</f>
        <v>6987.0999999999995</v>
      </c>
      <c r="BV6" s="724">
        <v>1770.5764554400002</v>
      </c>
      <c r="BW6" s="725">
        <v>1784.4</v>
      </c>
      <c r="BX6" s="725">
        <v>1817.2</v>
      </c>
      <c r="BY6" s="49">
        <v>1809.6</v>
      </c>
      <c r="BZ6" s="835">
        <f>SUM(BV6:BY6)</f>
        <v>7181.7764554400001</v>
      </c>
      <c r="CA6" s="724">
        <v>1799</v>
      </c>
      <c r="CB6" s="725"/>
      <c r="CC6" s="725"/>
      <c r="CD6" s="49"/>
      <c r="CE6" s="835">
        <f>SUM(CA6:CD6)</f>
        <v>1799</v>
      </c>
      <c r="CF6" s="762"/>
      <c r="CG6" s="714"/>
      <c r="CH6" s="762"/>
      <c r="CI6" s="762"/>
      <c r="CJ6" s="762"/>
      <c r="CK6" s="762"/>
      <c r="CL6" s="762"/>
      <c r="CM6" s="762"/>
      <c r="CN6" s="762"/>
    </row>
    <row r="7" spans="1:92" ht="20.149999999999999" customHeight="1">
      <c r="A7" s="868" t="s">
        <v>35</v>
      </c>
      <c r="B7" s="859" t="s">
        <v>36</v>
      </c>
      <c r="C7" s="654">
        <v>234.6</v>
      </c>
      <c r="D7" s="49">
        <v>272.7</v>
      </c>
      <c r="E7" s="49">
        <v>198</v>
      </c>
      <c r="F7" s="49">
        <v>286.3</v>
      </c>
      <c r="G7" s="835">
        <f t="shared" ref="G7:G10" si="4">SUM(C7:F7)</f>
        <v>991.59999999999991</v>
      </c>
      <c r="H7" s="654">
        <v>223.8</v>
      </c>
      <c r="I7" s="49">
        <v>265.2</v>
      </c>
      <c r="J7" s="49">
        <v>204</v>
      </c>
      <c r="K7" s="49">
        <v>317.2</v>
      </c>
      <c r="L7" s="835">
        <f t="shared" ref="L7:L10" si="5">SUM(H7:K7)</f>
        <v>1010.2</v>
      </c>
      <c r="M7" s="654">
        <v>242.19999999999993</v>
      </c>
      <c r="N7" s="49">
        <v>479.1</v>
      </c>
      <c r="O7" s="49">
        <v>591.6</v>
      </c>
      <c r="P7" s="49">
        <v>641.1</v>
      </c>
      <c r="Q7" s="835">
        <f t="shared" ref="Q7:Q10" si="6">SUM(M7:P7)</f>
        <v>1954</v>
      </c>
      <c r="R7" s="654">
        <v>553.29999999999995</v>
      </c>
      <c r="S7" s="49">
        <v>688.7</v>
      </c>
      <c r="T7" s="49">
        <v>616.9</v>
      </c>
      <c r="U7" s="50">
        <v>738</v>
      </c>
      <c r="V7" s="835">
        <v>2596.9</v>
      </c>
      <c r="W7" s="654">
        <v>599.79999999999995</v>
      </c>
      <c r="X7" s="653">
        <v>645</v>
      </c>
      <c r="Y7" s="654">
        <v>562.9</v>
      </c>
      <c r="Z7" s="50">
        <v>658.4</v>
      </c>
      <c r="AA7" s="835">
        <f t="shared" ref="AA7:AA36" si="7">SUM(W7:Z7)</f>
        <v>2466.1</v>
      </c>
      <c r="AB7" s="654">
        <v>562.1</v>
      </c>
      <c r="AC7" s="653">
        <v>652.29999999999995</v>
      </c>
      <c r="AD7" s="654">
        <v>588.4</v>
      </c>
      <c r="AE7" s="654">
        <v>735.8</v>
      </c>
      <c r="AF7" s="835">
        <f t="shared" ref="AF7:AF36" si="8">SUM(AB7:AE7)</f>
        <v>2538.6000000000004</v>
      </c>
      <c r="AG7" s="654">
        <v>635.9</v>
      </c>
      <c r="AH7" s="49">
        <v>708.5</v>
      </c>
      <c r="AI7" s="49">
        <v>677.7</v>
      </c>
      <c r="AJ7" s="654">
        <v>860.1</v>
      </c>
      <c r="AK7" s="835">
        <f t="shared" ref="AK7:AK10" si="9">SUM(AG7:AJ7)</f>
        <v>2882.2000000000003</v>
      </c>
      <c r="AL7" s="848"/>
      <c r="AM7" s="653">
        <v>635.9</v>
      </c>
      <c r="AN7" s="49">
        <v>738.5</v>
      </c>
      <c r="AO7" s="49">
        <v>741.6</v>
      </c>
      <c r="AP7" s="654">
        <v>927.80000000000018</v>
      </c>
      <c r="AQ7" s="835">
        <f t="shared" ref="AQ7:AQ10" si="10">SUM(AM7:AP7)</f>
        <v>3043.8</v>
      </c>
      <c r="AR7" s="654">
        <v>772.7</v>
      </c>
      <c r="AS7" s="49">
        <v>861.6</v>
      </c>
      <c r="AT7" s="49">
        <v>790.5</v>
      </c>
      <c r="AU7" s="654">
        <v>925.4</v>
      </c>
      <c r="AV7" s="835">
        <f t="shared" ref="AV7:AV10" si="11">SUM(AR7:AU7)</f>
        <v>3350.2000000000003</v>
      </c>
      <c r="AW7" s="654">
        <v>772.7</v>
      </c>
      <c r="AX7" s="49">
        <v>861.6</v>
      </c>
      <c r="AY7" s="49">
        <v>790.5</v>
      </c>
      <c r="AZ7" s="654">
        <v>925.4</v>
      </c>
      <c r="BA7" s="835">
        <f t="shared" ref="BA7:BA10" si="12">SUM(AW7:AZ7)</f>
        <v>3350.2000000000003</v>
      </c>
      <c r="BB7" s="654">
        <v>823.7</v>
      </c>
      <c r="BC7" s="49">
        <v>802.5</v>
      </c>
      <c r="BD7" s="49">
        <v>856.6</v>
      </c>
      <c r="BE7" s="654">
        <v>1043.9000000000001</v>
      </c>
      <c r="BF7" s="835">
        <f t="shared" ref="BF7:BF10" si="13">SUM(BB7:BE7)</f>
        <v>3526.7000000000003</v>
      </c>
      <c r="BG7" s="654">
        <v>880.7</v>
      </c>
      <c r="BH7" s="49">
        <v>964.2</v>
      </c>
      <c r="BI7" s="49">
        <v>827.1</v>
      </c>
      <c r="BJ7" s="654">
        <v>1006.8</v>
      </c>
      <c r="BK7" s="835">
        <f t="shared" ref="BK7:BK10" si="14">SUM(BG7:BJ7)</f>
        <v>3678.8</v>
      </c>
      <c r="BL7" s="654">
        <v>813.1</v>
      </c>
      <c r="BM7" s="49">
        <v>879.8</v>
      </c>
      <c r="BN7" s="49">
        <v>840.90000000000009</v>
      </c>
      <c r="BO7" s="654">
        <f>3531.7-BN7-BM7-BL7</f>
        <v>997.89999999999975</v>
      </c>
      <c r="BP7" s="835">
        <f t="shared" ref="BP7:BP10" si="15">SUM(BL7:BO7)</f>
        <v>3531.7</v>
      </c>
      <c r="BQ7" s="708">
        <v>792.3</v>
      </c>
      <c r="BR7" s="654">
        <v>859</v>
      </c>
      <c r="BS7" s="49">
        <v>799.3</v>
      </c>
      <c r="BT7" s="49">
        <v>929.3</v>
      </c>
      <c r="BU7" s="835">
        <f>SUM(BQ7:BT7)</f>
        <v>3379.8999999999996</v>
      </c>
      <c r="BV7" s="708">
        <v>749.72161727000037</v>
      </c>
      <c r="BW7" s="654">
        <v>848.2</v>
      </c>
      <c r="BX7" s="654">
        <v>763.8</v>
      </c>
      <c r="BY7" s="49">
        <v>898.7</v>
      </c>
      <c r="BZ7" s="835">
        <f>SUM(BV7:BY7)</f>
        <v>3260.4216172699998</v>
      </c>
      <c r="CA7" s="708">
        <v>767.6</v>
      </c>
      <c r="CB7" s="654"/>
      <c r="CC7" s="654"/>
      <c r="CD7" s="49"/>
      <c r="CE7" s="835">
        <f>SUM(CA7:CD7)</f>
        <v>767.6</v>
      </c>
      <c r="CF7" s="378"/>
      <c r="CG7" s="714"/>
      <c r="CH7" s="714"/>
    </row>
    <row r="8" spans="1:92" ht="20.149999999999999" customHeight="1">
      <c r="A8" s="868" t="s">
        <v>37</v>
      </c>
      <c r="B8" s="859" t="s">
        <v>38</v>
      </c>
      <c r="C8" s="654">
        <v>2.7</v>
      </c>
      <c r="D8" s="49">
        <v>6.2</v>
      </c>
      <c r="E8" s="49">
        <v>2.6</v>
      </c>
      <c r="F8" s="49">
        <v>7.2</v>
      </c>
      <c r="G8" s="835">
        <f t="shared" si="4"/>
        <v>18.7</v>
      </c>
      <c r="H8" s="654">
        <v>13.1</v>
      </c>
      <c r="I8" s="49">
        <v>11.8</v>
      </c>
      <c r="J8" s="49">
        <v>7.1</v>
      </c>
      <c r="K8" s="49">
        <v>9.6999999999999993</v>
      </c>
      <c r="L8" s="835">
        <f t="shared" si="5"/>
        <v>41.7</v>
      </c>
      <c r="M8" s="654">
        <v>7.8999999999999986</v>
      </c>
      <c r="N8" s="49">
        <v>55.4</v>
      </c>
      <c r="O8" s="49">
        <v>104.1</v>
      </c>
      <c r="P8" s="49">
        <v>159.9</v>
      </c>
      <c r="Q8" s="835">
        <f t="shared" si="6"/>
        <v>327.29999999999995</v>
      </c>
      <c r="R8" s="654">
        <v>118.4</v>
      </c>
      <c r="S8" s="49">
        <v>106.9</v>
      </c>
      <c r="T8" s="49">
        <v>131.19999999999999</v>
      </c>
      <c r="U8" s="50">
        <v>226.89999999999998</v>
      </c>
      <c r="V8" s="835">
        <v>583.4</v>
      </c>
      <c r="W8" s="654">
        <v>172.8</v>
      </c>
      <c r="X8" s="653">
        <v>191.1</v>
      </c>
      <c r="Y8" s="654">
        <v>221.3</v>
      </c>
      <c r="Z8" s="50">
        <v>265.60000000000002</v>
      </c>
      <c r="AA8" s="835">
        <f t="shared" si="7"/>
        <v>850.80000000000007</v>
      </c>
      <c r="AB8" s="654">
        <v>248.6</v>
      </c>
      <c r="AC8" s="653">
        <v>243.3</v>
      </c>
      <c r="AD8" s="654">
        <v>264.5</v>
      </c>
      <c r="AE8" s="654">
        <v>298.8</v>
      </c>
      <c r="AF8" s="835">
        <f t="shared" si="8"/>
        <v>1055.2</v>
      </c>
      <c r="AG8" s="654">
        <v>208.6</v>
      </c>
      <c r="AH8" s="49">
        <v>239</v>
      </c>
      <c r="AI8" s="49">
        <v>237.6</v>
      </c>
      <c r="AJ8" s="654">
        <v>286.2</v>
      </c>
      <c r="AK8" s="835">
        <f t="shared" si="9"/>
        <v>971.40000000000009</v>
      </c>
      <c r="AL8" s="848"/>
      <c r="AM8" s="653">
        <v>317.5</v>
      </c>
      <c r="AN8" s="49">
        <v>341.7</v>
      </c>
      <c r="AO8" s="49">
        <v>328.6</v>
      </c>
      <c r="AP8" s="654">
        <v>398.20000000000005</v>
      </c>
      <c r="AQ8" s="835">
        <f t="shared" si="10"/>
        <v>1386</v>
      </c>
      <c r="AR8" s="654">
        <v>347.4</v>
      </c>
      <c r="AS8" s="49">
        <v>379.3</v>
      </c>
      <c r="AT8" s="49">
        <v>412.9</v>
      </c>
      <c r="AU8" s="654">
        <v>445.4</v>
      </c>
      <c r="AV8" s="835">
        <f t="shared" si="11"/>
        <v>1585</v>
      </c>
      <c r="AW8" s="654">
        <v>347.4</v>
      </c>
      <c r="AX8" s="49">
        <v>379.3</v>
      </c>
      <c r="AY8" s="49">
        <v>412.9</v>
      </c>
      <c r="AZ8" s="654">
        <v>445.4</v>
      </c>
      <c r="BA8" s="835">
        <f t="shared" si="12"/>
        <v>1585</v>
      </c>
      <c r="BB8" s="654">
        <v>345.7</v>
      </c>
      <c r="BC8" s="49">
        <v>392.9</v>
      </c>
      <c r="BD8" s="49">
        <v>433.7</v>
      </c>
      <c r="BE8" s="654">
        <v>424.4</v>
      </c>
      <c r="BF8" s="835">
        <f t="shared" si="13"/>
        <v>1596.6999999999998</v>
      </c>
      <c r="BG8" s="654">
        <v>332.7</v>
      </c>
      <c r="BH8" s="49">
        <v>350.4</v>
      </c>
      <c r="BI8" s="49">
        <v>359.1</v>
      </c>
      <c r="BJ8" s="654">
        <v>408.1</v>
      </c>
      <c r="BK8" s="835">
        <f t="shared" si="14"/>
        <v>1450.2999999999997</v>
      </c>
      <c r="BL8" s="654">
        <v>336.5</v>
      </c>
      <c r="BM8" s="49">
        <v>450.5</v>
      </c>
      <c r="BN8" s="49">
        <v>472.70000000000005</v>
      </c>
      <c r="BO8" s="654">
        <f>1805.1-BN8-BM8-BL8</f>
        <v>545.39999999999986</v>
      </c>
      <c r="BP8" s="835">
        <f t="shared" si="15"/>
        <v>1805.1</v>
      </c>
      <c r="BQ8" s="708">
        <v>484.9</v>
      </c>
      <c r="BR8" s="654">
        <v>483.6</v>
      </c>
      <c r="BS8" s="49">
        <v>446.5</v>
      </c>
      <c r="BT8" s="49">
        <v>506.7</v>
      </c>
      <c r="BU8" s="835">
        <f>SUM(BQ8:BT8)</f>
        <v>1921.7</v>
      </c>
      <c r="BV8" s="708">
        <v>425.94365038999973</v>
      </c>
      <c r="BW8" s="654">
        <v>432.8</v>
      </c>
      <c r="BX8" s="654">
        <v>457.2</v>
      </c>
      <c r="BY8" s="49">
        <v>478.6</v>
      </c>
      <c r="BZ8" s="835">
        <f>SUM(BV8:BY8)</f>
        <v>1794.5436503899996</v>
      </c>
      <c r="CA8" s="708">
        <v>424.8</v>
      </c>
      <c r="CB8" s="654"/>
      <c r="CC8" s="654"/>
      <c r="CD8" s="49"/>
      <c r="CE8" s="835">
        <f>SUM(CA8:CD8)</f>
        <v>424.8</v>
      </c>
      <c r="CF8" s="378"/>
      <c r="CG8" s="714"/>
      <c r="CH8" s="714"/>
    </row>
    <row r="9" spans="1:92" ht="20.149999999999999" customHeight="1">
      <c r="A9" s="868" t="s">
        <v>39</v>
      </c>
      <c r="B9" s="859" t="s">
        <v>40</v>
      </c>
      <c r="C9" s="654"/>
      <c r="D9" s="49"/>
      <c r="E9" s="49"/>
      <c r="F9" s="49"/>
      <c r="G9" s="835"/>
      <c r="H9" s="654"/>
      <c r="I9" s="49"/>
      <c r="J9" s="49"/>
      <c r="K9" s="49"/>
      <c r="L9" s="835"/>
      <c r="M9" s="654"/>
      <c r="N9" s="49"/>
      <c r="O9" s="49"/>
      <c r="P9" s="49"/>
      <c r="Q9" s="835"/>
      <c r="R9" s="654"/>
      <c r="S9" s="49"/>
      <c r="T9" s="49"/>
      <c r="U9" s="50"/>
      <c r="V9" s="835"/>
      <c r="W9" s="654"/>
      <c r="X9" s="653"/>
      <c r="Y9" s="654"/>
      <c r="Z9" s="50"/>
      <c r="AA9" s="835"/>
      <c r="AB9" s="654"/>
      <c r="AC9" s="653"/>
      <c r="AD9" s="654"/>
      <c r="AE9" s="654"/>
      <c r="AF9" s="835"/>
      <c r="AG9" s="654"/>
      <c r="AH9" s="49"/>
      <c r="AI9" s="49"/>
      <c r="AJ9" s="654"/>
      <c r="AK9" s="835"/>
      <c r="AL9" s="848"/>
      <c r="AM9" s="653"/>
      <c r="AN9" s="49"/>
      <c r="AO9" s="49"/>
      <c r="AP9" s="654"/>
      <c r="AQ9" s="835"/>
      <c r="AR9" s="654"/>
      <c r="AS9" s="49"/>
      <c r="AT9" s="49"/>
      <c r="AU9" s="654"/>
      <c r="AV9" s="835"/>
      <c r="AW9" s="654"/>
      <c r="AX9" s="49"/>
      <c r="AY9" s="49"/>
      <c r="AZ9" s="654"/>
      <c r="BA9" s="835"/>
      <c r="BB9" s="654"/>
      <c r="BC9" s="49"/>
      <c r="BD9" s="49"/>
      <c r="BE9" s="654"/>
      <c r="BF9" s="835"/>
      <c r="BG9" s="654"/>
      <c r="BH9" s="49"/>
      <c r="BI9" s="49"/>
      <c r="BJ9" s="654"/>
      <c r="BK9" s="835"/>
      <c r="BL9" s="654"/>
      <c r="BM9" s="49"/>
      <c r="BN9" s="49"/>
      <c r="BO9" s="654"/>
      <c r="BP9" s="835"/>
      <c r="BQ9" s="708"/>
      <c r="BR9" s="654"/>
      <c r="BS9" s="49">
        <v>272</v>
      </c>
      <c r="BT9" s="49">
        <v>285.60000000000002</v>
      </c>
      <c r="BU9" s="835">
        <f>SUM(BQ9:BT9)</f>
        <v>557.6</v>
      </c>
      <c r="BV9" s="708">
        <v>281.85690662000002</v>
      </c>
      <c r="BW9" s="654">
        <v>249</v>
      </c>
      <c r="BX9" s="654">
        <v>359.1</v>
      </c>
      <c r="BY9" s="49">
        <v>340</v>
      </c>
      <c r="BZ9" s="835">
        <f>SUM(BV9:BY9)</f>
        <v>1229.9569066200002</v>
      </c>
      <c r="CA9" s="708">
        <v>309.39999999999998</v>
      </c>
      <c r="CB9" s="654"/>
      <c r="CC9" s="654"/>
      <c r="CD9" s="49"/>
      <c r="CE9" s="835">
        <f>SUM(CA9:CD9)</f>
        <v>309.39999999999998</v>
      </c>
      <c r="CF9" s="378"/>
      <c r="CG9" s="714"/>
      <c r="CH9" s="714"/>
    </row>
    <row r="10" spans="1:92" ht="20.149999999999999" customHeight="1">
      <c r="A10" s="868" t="s">
        <v>792</v>
      </c>
      <c r="B10" s="859" t="s">
        <v>793</v>
      </c>
      <c r="C10" s="654">
        <v>7.9</v>
      </c>
      <c r="D10" s="49">
        <v>7.8</v>
      </c>
      <c r="E10" s="49">
        <v>9.5</v>
      </c>
      <c r="F10" s="49">
        <v>10.5</v>
      </c>
      <c r="G10" s="835">
        <f t="shared" si="4"/>
        <v>35.700000000000003</v>
      </c>
      <c r="H10" s="654">
        <v>8.5</v>
      </c>
      <c r="I10" s="49">
        <v>6.9</v>
      </c>
      <c r="J10" s="49">
        <v>5.9</v>
      </c>
      <c r="K10" s="49">
        <v>7.5</v>
      </c>
      <c r="L10" s="835">
        <f t="shared" si="5"/>
        <v>28.8</v>
      </c>
      <c r="M10" s="654">
        <v>5.4</v>
      </c>
      <c r="N10" s="49">
        <v>6.9</v>
      </c>
      <c r="O10" s="49">
        <v>13.2</v>
      </c>
      <c r="P10" s="49">
        <v>18.399999999999999</v>
      </c>
      <c r="Q10" s="835">
        <f t="shared" si="6"/>
        <v>43.9</v>
      </c>
      <c r="R10" s="654">
        <v>20.100000000000001</v>
      </c>
      <c r="S10" s="49">
        <v>21.6</v>
      </c>
      <c r="T10" s="49">
        <v>23.5</v>
      </c>
      <c r="U10" s="50">
        <v>24.399999999999991</v>
      </c>
      <c r="V10" s="835">
        <v>89.6</v>
      </c>
      <c r="W10" s="654">
        <v>25.7</v>
      </c>
      <c r="X10" s="653">
        <v>19.899999999999999</v>
      </c>
      <c r="Y10" s="654">
        <v>19.899999999999999</v>
      </c>
      <c r="Z10" s="50">
        <v>22.1</v>
      </c>
      <c r="AA10" s="835">
        <f t="shared" si="7"/>
        <v>87.6</v>
      </c>
      <c r="AB10" s="654">
        <v>35.200000000000003</v>
      </c>
      <c r="AC10" s="653">
        <v>41</v>
      </c>
      <c r="AD10" s="654">
        <v>44</v>
      </c>
      <c r="AE10" s="654">
        <v>46.7</v>
      </c>
      <c r="AF10" s="835">
        <f t="shared" si="8"/>
        <v>166.9</v>
      </c>
      <c r="AG10" s="654">
        <v>46</v>
      </c>
      <c r="AH10" s="49">
        <f>45.6</f>
        <v>45.6</v>
      </c>
      <c r="AI10" s="49">
        <v>38.4</v>
      </c>
      <c r="AJ10" s="654">
        <v>50.9</v>
      </c>
      <c r="AK10" s="835">
        <f t="shared" si="9"/>
        <v>180.9</v>
      </c>
      <c r="AL10" s="848"/>
      <c r="AM10" s="653">
        <v>40.299999999999997</v>
      </c>
      <c r="AN10" s="49">
        <v>40.9</v>
      </c>
      <c r="AO10" s="49">
        <v>34.299999999999997</v>
      </c>
      <c r="AP10" s="654">
        <v>48.199999999999989</v>
      </c>
      <c r="AQ10" s="835">
        <f t="shared" si="10"/>
        <v>163.69999999999999</v>
      </c>
      <c r="AR10" s="654">
        <v>56.3</v>
      </c>
      <c r="AS10" s="49">
        <v>56</v>
      </c>
      <c r="AT10" s="49">
        <v>60.6</v>
      </c>
      <c r="AU10" s="654">
        <v>69.8</v>
      </c>
      <c r="AV10" s="835">
        <f t="shared" si="11"/>
        <v>242.7</v>
      </c>
      <c r="AW10" s="654">
        <v>65.5</v>
      </c>
      <c r="AX10" s="49">
        <v>66</v>
      </c>
      <c r="AY10" s="49">
        <v>70.7</v>
      </c>
      <c r="AZ10" s="654">
        <v>79.900000000000006</v>
      </c>
      <c r="BA10" s="835">
        <f t="shared" si="12"/>
        <v>282.10000000000002</v>
      </c>
      <c r="BB10" s="654">
        <v>74.599999999999994</v>
      </c>
      <c r="BC10" s="49">
        <v>75.3</v>
      </c>
      <c r="BD10" s="49">
        <v>89.4</v>
      </c>
      <c r="BE10" s="654">
        <v>119.8</v>
      </c>
      <c r="BF10" s="835">
        <f t="shared" si="13"/>
        <v>359.09999999999997</v>
      </c>
      <c r="BG10" s="654">
        <v>109.9</v>
      </c>
      <c r="BH10" s="49">
        <v>180.3</v>
      </c>
      <c r="BI10" s="49">
        <v>138.30000000000001</v>
      </c>
      <c r="BJ10" s="654">
        <v>119.4</v>
      </c>
      <c r="BK10" s="835">
        <f t="shared" si="14"/>
        <v>547.90000000000009</v>
      </c>
      <c r="BL10" s="654">
        <v>114.9</v>
      </c>
      <c r="BM10" s="49">
        <v>172</v>
      </c>
      <c r="BN10" s="49">
        <v>204</v>
      </c>
      <c r="BO10" s="654">
        <f>626.4-BN10-BM10-BL10</f>
        <v>135.49999999999997</v>
      </c>
      <c r="BP10" s="835">
        <f t="shared" si="15"/>
        <v>626.4</v>
      </c>
      <c r="BQ10" s="708">
        <v>188.3</v>
      </c>
      <c r="BR10" s="654">
        <v>212.4</v>
      </c>
      <c r="BS10" s="49">
        <v>183.1</v>
      </c>
      <c r="BT10" s="49">
        <v>196.2</v>
      </c>
      <c r="BU10" s="835">
        <f>SUM(BQ10:BT10)</f>
        <v>780</v>
      </c>
      <c r="BV10" s="708">
        <v>176.9</v>
      </c>
      <c r="BW10" s="654">
        <v>139.9</v>
      </c>
      <c r="BX10" s="654">
        <v>182.2</v>
      </c>
      <c r="BY10" s="49">
        <v>300.2</v>
      </c>
      <c r="BZ10" s="835">
        <f>SUM(BV10:BY10)</f>
        <v>799.2</v>
      </c>
      <c r="CA10" s="708">
        <v>229.4</v>
      </c>
      <c r="CB10" s="654"/>
      <c r="CC10" s="654"/>
      <c r="CD10" s="49"/>
      <c r="CE10" s="835">
        <f>SUM(CA10:CD10)</f>
        <v>229.4</v>
      </c>
      <c r="CF10" s="378"/>
      <c r="CG10" s="714"/>
      <c r="CH10" s="714"/>
    </row>
    <row r="11" spans="1:92" s="655" customFormat="1" ht="22.5" customHeight="1">
      <c r="A11" s="860" t="s">
        <v>41</v>
      </c>
      <c r="B11" s="860" t="s">
        <v>42</v>
      </c>
      <c r="C11" s="659">
        <f t="shared" ref="C11:AK11" si="16">SUM(C12:C21)</f>
        <v>-464.5</v>
      </c>
      <c r="D11" s="659">
        <f t="shared" si="16"/>
        <v>-499.7</v>
      </c>
      <c r="E11" s="659">
        <f t="shared" si="16"/>
        <v>-444.9</v>
      </c>
      <c r="F11" s="659">
        <f t="shared" si="16"/>
        <v>-562.4</v>
      </c>
      <c r="G11" s="833">
        <f t="shared" si="16"/>
        <v>-1971.5000000000002</v>
      </c>
      <c r="H11" s="659">
        <f t="shared" si="16"/>
        <v>-512.92000000000007</v>
      </c>
      <c r="I11" s="659">
        <f t="shared" si="16"/>
        <v>-542.4</v>
      </c>
      <c r="J11" s="659">
        <f t="shared" si="16"/>
        <v>-510.7</v>
      </c>
      <c r="K11" s="659">
        <f t="shared" si="16"/>
        <v>-591.70000000000005</v>
      </c>
      <c r="L11" s="833">
        <f t="shared" si="16"/>
        <v>-2157.7199999999998</v>
      </c>
      <c r="M11" s="659">
        <f t="shared" si="16"/>
        <v>-507.40000000000003</v>
      </c>
      <c r="N11" s="659">
        <f t="shared" si="16"/>
        <v>-1351.8000000000002</v>
      </c>
      <c r="O11" s="659">
        <f t="shared" si="16"/>
        <v>-1992.5000000000002</v>
      </c>
      <c r="P11" s="659">
        <f t="shared" si="16"/>
        <v>-2125.3999999999996</v>
      </c>
      <c r="Q11" s="833">
        <f t="shared" si="16"/>
        <v>-5977.1</v>
      </c>
      <c r="R11" s="659">
        <f t="shared" si="16"/>
        <v>-1909</v>
      </c>
      <c r="S11" s="659">
        <f t="shared" si="16"/>
        <v>-1899.4999999999998</v>
      </c>
      <c r="T11" s="659">
        <f t="shared" si="16"/>
        <v>-1900.1</v>
      </c>
      <c r="U11" s="659">
        <f t="shared" si="16"/>
        <v>-2159.2999999999997</v>
      </c>
      <c r="V11" s="833">
        <f t="shared" si="16"/>
        <v>-7867.9000000000005</v>
      </c>
      <c r="W11" s="659">
        <f t="shared" si="16"/>
        <v>-1948</v>
      </c>
      <c r="X11" s="659">
        <f t="shared" si="16"/>
        <v>-2042</v>
      </c>
      <c r="Y11" s="660">
        <f t="shared" si="16"/>
        <v>-1938.6999999999998</v>
      </c>
      <c r="Z11" s="660">
        <f t="shared" si="16"/>
        <v>-2140.6</v>
      </c>
      <c r="AA11" s="833">
        <f t="shared" si="16"/>
        <v>-8069.2999999999993</v>
      </c>
      <c r="AB11" s="659">
        <f t="shared" si="16"/>
        <v>-1938.1999999999996</v>
      </c>
      <c r="AC11" s="659">
        <f t="shared" si="16"/>
        <v>-1962.8000000000002</v>
      </c>
      <c r="AD11" s="659">
        <f t="shared" si="16"/>
        <v>-1975.7</v>
      </c>
      <c r="AE11" s="659">
        <f t="shared" si="16"/>
        <v>-2139.1999999999998</v>
      </c>
      <c r="AF11" s="833">
        <f t="shared" si="16"/>
        <v>-8015.9</v>
      </c>
      <c r="AG11" s="659">
        <f t="shared" si="16"/>
        <v>-1903.1000000000001</v>
      </c>
      <c r="AH11" s="659">
        <f t="shared" si="16"/>
        <v>-1986.5000000000002</v>
      </c>
      <c r="AI11" s="659">
        <f t="shared" si="16"/>
        <v>-2044</v>
      </c>
      <c r="AJ11" s="659">
        <f t="shared" si="16"/>
        <v>-2266</v>
      </c>
      <c r="AK11" s="833">
        <f t="shared" si="16"/>
        <v>-8199.6</v>
      </c>
      <c r="AL11" s="849"/>
      <c r="AM11" s="659">
        <f t="shared" ref="AM11:BO11" si="17">SUM(AM12:AM21)</f>
        <v>-1917.1000000000001</v>
      </c>
      <c r="AN11" s="659">
        <f t="shared" si="17"/>
        <v>-2127</v>
      </c>
      <c r="AO11" s="659">
        <f t="shared" si="17"/>
        <v>-2345.8000000000002</v>
      </c>
      <c r="AP11" s="659">
        <f t="shared" si="17"/>
        <v>-2588.9</v>
      </c>
      <c r="AQ11" s="833">
        <f t="shared" si="17"/>
        <v>-8978.7999999999993</v>
      </c>
      <c r="AR11" s="659">
        <f t="shared" si="17"/>
        <v>-2317.1</v>
      </c>
      <c r="AS11" s="659">
        <f t="shared" si="17"/>
        <v>-2404.4</v>
      </c>
      <c r="AT11" s="659">
        <f t="shared" si="17"/>
        <v>-2433.0000000000005</v>
      </c>
      <c r="AU11" s="659">
        <f t="shared" si="17"/>
        <v>-2592.9999999999995</v>
      </c>
      <c r="AV11" s="833">
        <f t="shared" si="17"/>
        <v>-9747.4999999999982</v>
      </c>
      <c r="AW11" s="659">
        <f t="shared" si="17"/>
        <v>-2317.0000000000005</v>
      </c>
      <c r="AX11" s="659">
        <f t="shared" si="17"/>
        <v>-2407.2000000000003</v>
      </c>
      <c r="AY11" s="659">
        <f t="shared" si="17"/>
        <v>-2436.8000000000002</v>
      </c>
      <c r="AZ11" s="659">
        <f t="shared" si="17"/>
        <v>-2593.8000000000002</v>
      </c>
      <c r="BA11" s="833">
        <f t="shared" si="17"/>
        <v>-9754.7999999999993</v>
      </c>
      <c r="BB11" s="659">
        <f t="shared" si="17"/>
        <v>-2392.1111734799997</v>
      </c>
      <c r="BC11" s="659">
        <f t="shared" si="17"/>
        <v>-2455.5999999999995</v>
      </c>
      <c r="BD11" s="659">
        <f t="shared" si="17"/>
        <v>-2494.8000000000002</v>
      </c>
      <c r="BE11" s="659">
        <f t="shared" si="17"/>
        <v>-2731.3</v>
      </c>
      <c r="BF11" s="833">
        <f t="shared" si="17"/>
        <v>-10073.81117348</v>
      </c>
      <c r="BG11" s="659">
        <f t="shared" si="17"/>
        <v>-2430.9</v>
      </c>
      <c r="BH11" s="659">
        <f t="shared" si="17"/>
        <v>-2468.1000000000004</v>
      </c>
      <c r="BI11" s="659">
        <f t="shared" si="17"/>
        <v>-2595.9</v>
      </c>
      <c r="BJ11" s="659">
        <f t="shared" si="17"/>
        <v>-2810.6000000000004</v>
      </c>
      <c r="BK11" s="833">
        <f t="shared" si="17"/>
        <v>-10305.5</v>
      </c>
      <c r="BL11" s="659">
        <f t="shared" si="17"/>
        <v>-2633.7000000000003</v>
      </c>
      <c r="BM11" s="659">
        <f t="shared" si="17"/>
        <v>-2815.4</v>
      </c>
      <c r="BN11" s="659">
        <f t="shared" si="17"/>
        <v>-2877.2999999999997</v>
      </c>
      <c r="BO11" s="659">
        <f t="shared" si="17"/>
        <v>-3073.4000000000005</v>
      </c>
      <c r="BP11" s="833">
        <f>SUM(BP12:BP21)</f>
        <v>-11399.8</v>
      </c>
      <c r="BQ11" s="709">
        <f>SUM(BQ12:BQ21)</f>
        <v>-2891.8999999999996</v>
      </c>
      <c r="BR11" s="659">
        <f t="shared" ref="BR11" si="18">SUM(BR12:BR21)</f>
        <v>-2945</v>
      </c>
      <c r="BS11" s="659">
        <f t="shared" ref="BS11:CE11" si="19">SUM(BS12:BS17,BS19:BS21)</f>
        <v>-3165.1999999999994</v>
      </c>
      <c r="BT11" s="659">
        <f t="shared" si="19"/>
        <v>-3486.6999999999994</v>
      </c>
      <c r="BU11" s="833">
        <f t="shared" si="19"/>
        <v>-12488.8</v>
      </c>
      <c r="BV11" s="659">
        <f t="shared" si="19"/>
        <v>-3116.2999999999997</v>
      </c>
      <c r="BW11" s="659">
        <f t="shared" si="19"/>
        <v>-3085.8</v>
      </c>
      <c r="BX11" s="659">
        <f t="shared" si="19"/>
        <v>-2987.7999999999997</v>
      </c>
      <c r="BY11" s="659">
        <f t="shared" si="19"/>
        <v>-3439.4</v>
      </c>
      <c r="BZ11" s="833">
        <f t="shared" si="19"/>
        <v>-12629.300000000001</v>
      </c>
      <c r="CA11" s="659">
        <f t="shared" si="19"/>
        <v>-3105.9</v>
      </c>
      <c r="CB11" s="659"/>
      <c r="CC11" s="659"/>
      <c r="CD11" s="659"/>
      <c r="CE11" s="833">
        <f t="shared" si="19"/>
        <v>-3105.9</v>
      </c>
      <c r="CF11" s="378"/>
      <c r="CG11" s="714"/>
      <c r="CH11" s="714"/>
    </row>
    <row r="12" spans="1:92" ht="30" customHeight="1">
      <c r="A12" s="868" t="s">
        <v>43</v>
      </c>
      <c r="B12" s="861" t="s">
        <v>44</v>
      </c>
      <c r="C12" s="53">
        <v>-49.7</v>
      </c>
      <c r="D12" s="52">
        <v>-55.1</v>
      </c>
      <c r="E12" s="52">
        <v>-58.6</v>
      </c>
      <c r="F12" s="52">
        <v>-59.3</v>
      </c>
      <c r="G12" s="836">
        <f>SUM(C12:F12)</f>
        <v>-222.7</v>
      </c>
      <c r="H12" s="53">
        <v>-60.7</v>
      </c>
      <c r="I12" s="52">
        <v>-62</v>
      </c>
      <c r="J12" s="52">
        <v>-62.2</v>
      </c>
      <c r="K12" s="52">
        <v>-71.400000000000006</v>
      </c>
      <c r="L12" s="836">
        <f>SUM(H12:K12)</f>
        <v>-256.3</v>
      </c>
      <c r="M12" s="53">
        <v>-71.300000000000011</v>
      </c>
      <c r="N12" s="52">
        <v>-288</v>
      </c>
      <c r="O12" s="52">
        <v>-495.9</v>
      </c>
      <c r="P12" s="52">
        <v>-557.20000000000005</v>
      </c>
      <c r="Q12" s="836">
        <f>SUM(M12:P12)</f>
        <v>-1412.4</v>
      </c>
      <c r="R12" s="53">
        <v>-482.3</v>
      </c>
      <c r="S12" s="52">
        <v>-522.4</v>
      </c>
      <c r="T12" s="52">
        <v>-551.20000000000005</v>
      </c>
      <c r="U12" s="50">
        <v>-585.09999999999991</v>
      </c>
      <c r="V12" s="836">
        <v>-2141</v>
      </c>
      <c r="W12" s="53">
        <v>-550.29999999999995</v>
      </c>
      <c r="X12" s="53">
        <v>-456.6</v>
      </c>
      <c r="Y12" s="36">
        <v>-459.2</v>
      </c>
      <c r="Z12" s="50">
        <v>-472.6</v>
      </c>
      <c r="AA12" s="836">
        <f>SUM(W12:Z12)</f>
        <v>-1938.6999999999998</v>
      </c>
      <c r="AB12" s="53">
        <v>-468.2</v>
      </c>
      <c r="AC12" s="53">
        <v>-483.5</v>
      </c>
      <c r="AD12" s="36">
        <v>-528.5</v>
      </c>
      <c r="AE12" s="36">
        <v>-533.79999999999995</v>
      </c>
      <c r="AF12" s="836">
        <f t="shared" si="8"/>
        <v>-2014</v>
      </c>
      <c r="AG12" s="53">
        <v>-504.5</v>
      </c>
      <c r="AH12" s="52">
        <v>-521.1</v>
      </c>
      <c r="AI12" s="52">
        <v>-550.29999999999995</v>
      </c>
      <c r="AJ12" s="36">
        <v>-560.1</v>
      </c>
      <c r="AK12" s="836">
        <f t="shared" ref="AK12:AK24" si="20">SUM(AG12:AJ12)</f>
        <v>-2136</v>
      </c>
      <c r="AL12" s="848"/>
      <c r="AM12" s="53">
        <v>-504.5</v>
      </c>
      <c r="AN12" s="52">
        <v>-578.5</v>
      </c>
      <c r="AO12" s="52">
        <v>-674.8</v>
      </c>
      <c r="AP12" s="36">
        <v>-691.10000000000014</v>
      </c>
      <c r="AQ12" s="836">
        <f t="shared" ref="AQ12:AQ24" si="21">SUM(AM12:AP12)</f>
        <v>-2448.9</v>
      </c>
      <c r="AR12" s="53">
        <v>-651.29999999999995</v>
      </c>
      <c r="AS12" s="52">
        <v>-678.4</v>
      </c>
      <c r="AT12" s="52">
        <v>-664.1</v>
      </c>
      <c r="AU12" s="36">
        <v>-670.2</v>
      </c>
      <c r="AV12" s="836">
        <f t="shared" ref="AV12:AV24" si="22">SUM(AR12:AU12)</f>
        <v>-2664</v>
      </c>
      <c r="AW12" s="53">
        <v>-563.79999999999995</v>
      </c>
      <c r="AX12" s="52">
        <v>-591.4</v>
      </c>
      <c r="AY12" s="52">
        <v>-575.79999999999995</v>
      </c>
      <c r="AZ12" s="36">
        <v>-580.29999999999995</v>
      </c>
      <c r="BA12" s="836">
        <f t="shared" ref="BA12:BA24" si="23">SUM(AW12:AZ12)</f>
        <v>-2311.2999999999997</v>
      </c>
      <c r="BB12" s="53">
        <v>-600.79999999999995</v>
      </c>
      <c r="BC12" s="52">
        <v>-636.1</v>
      </c>
      <c r="BD12" s="52">
        <v>-609</v>
      </c>
      <c r="BE12" s="36">
        <v>-615</v>
      </c>
      <c r="BF12" s="836">
        <f t="shared" ref="BF12:BF24" si="24">SUM(BB12:BE12)</f>
        <v>-2460.9</v>
      </c>
      <c r="BG12" s="53">
        <v>-624.70000000000005</v>
      </c>
      <c r="BH12" s="52">
        <v>-633</v>
      </c>
      <c r="BI12" s="52">
        <v>-790.3</v>
      </c>
      <c r="BJ12" s="36">
        <v>-801.7</v>
      </c>
      <c r="BK12" s="836">
        <f t="shared" ref="BK12:BK23" si="25">SUM(BG12:BJ12)</f>
        <v>-2849.7</v>
      </c>
      <c r="BL12" s="53">
        <v>-809.5</v>
      </c>
      <c r="BM12" s="52">
        <f>-808</f>
        <v>-808</v>
      </c>
      <c r="BN12" s="52">
        <v>-823.19999999999982</v>
      </c>
      <c r="BO12" s="36">
        <f>-3271.5-BN12-BM12-BL12</f>
        <v>-830.80000000000018</v>
      </c>
      <c r="BP12" s="836">
        <f t="shared" ref="BP12:BP23" si="26">SUM(BL12:BO12)</f>
        <v>-3271.5</v>
      </c>
      <c r="BQ12" s="710">
        <v>-808.6</v>
      </c>
      <c r="BR12" s="52">
        <v>-823.9</v>
      </c>
      <c r="BS12" s="52">
        <v>-838.1</v>
      </c>
      <c r="BT12" s="52">
        <v>-862.1</v>
      </c>
      <c r="BU12" s="836">
        <f t="shared" ref="BU12:BU17" si="27">SUM(BQ12:BT12)</f>
        <v>-3332.7</v>
      </c>
      <c r="BV12" s="710">
        <v>-802.6</v>
      </c>
      <c r="BW12" s="52">
        <v>-820.1</v>
      </c>
      <c r="BX12" s="52">
        <v>-869.7</v>
      </c>
      <c r="BY12" s="52">
        <v>-872.3</v>
      </c>
      <c r="BZ12" s="836">
        <f t="shared" ref="BZ12:BZ17" si="28">SUM(BV12:BY12)</f>
        <v>-3364.7</v>
      </c>
      <c r="CA12" s="710">
        <v>-854.4</v>
      </c>
      <c r="CB12" s="52"/>
      <c r="CC12" s="52"/>
      <c r="CD12" s="52"/>
      <c r="CE12" s="836">
        <f t="shared" ref="CE12:CE17" si="29">SUM(CA12:CD12)</f>
        <v>-854.4</v>
      </c>
      <c r="CF12" s="941"/>
      <c r="CG12" s="714"/>
      <c r="CH12" s="714"/>
    </row>
    <row r="13" spans="1:92" ht="12.9">
      <c r="A13" s="868" t="s">
        <v>45</v>
      </c>
      <c r="B13" s="859" t="s">
        <v>46</v>
      </c>
      <c r="C13" s="53">
        <v>-54.4</v>
      </c>
      <c r="D13" s="52">
        <v>-56.7</v>
      </c>
      <c r="E13" s="52">
        <v>-60.2</v>
      </c>
      <c r="F13" s="52">
        <v>-71.7</v>
      </c>
      <c r="G13" s="836">
        <f>SUM(C13:F13)</f>
        <v>-243</v>
      </c>
      <c r="H13" s="53">
        <v>-60.7</v>
      </c>
      <c r="I13" s="52">
        <v>-62.3</v>
      </c>
      <c r="J13" s="52">
        <v>-64.8</v>
      </c>
      <c r="K13" s="52">
        <v>-68.599999999999994</v>
      </c>
      <c r="L13" s="836">
        <f>SUM(H13:K13)</f>
        <v>-256.39999999999998</v>
      </c>
      <c r="M13" s="53">
        <v>-62.5</v>
      </c>
      <c r="N13" s="52">
        <v>-311.3</v>
      </c>
      <c r="O13" s="52">
        <v>-478.3</v>
      </c>
      <c r="P13" s="52">
        <v>-443.8</v>
      </c>
      <c r="Q13" s="836">
        <f>SUM(M13:P13)</f>
        <v>-1295.9000000000001</v>
      </c>
      <c r="R13" s="53">
        <v>-467.9</v>
      </c>
      <c r="S13" s="52">
        <v>-393.5</v>
      </c>
      <c r="T13" s="52">
        <v>-401.2</v>
      </c>
      <c r="U13" s="50">
        <v>-436.70000000000005</v>
      </c>
      <c r="V13" s="836">
        <v>-1699.3</v>
      </c>
      <c r="W13" s="53">
        <v>-423.7</v>
      </c>
      <c r="X13" s="53">
        <v>-527.5</v>
      </c>
      <c r="Y13" s="36">
        <v>-507.9</v>
      </c>
      <c r="Z13" s="50">
        <v>-512.4</v>
      </c>
      <c r="AA13" s="836">
        <f>SUM(W13:Z13)</f>
        <v>-1971.5</v>
      </c>
      <c r="AB13" s="53">
        <v>-472.3</v>
      </c>
      <c r="AC13" s="53">
        <v>-446.7</v>
      </c>
      <c r="AD13" s="36">
        <v>-429.2</v>
      </c>
      <c r="AE13" s="36">
        <v>-434.8</v>
      </c>
      <c r="AF13" s="836">
        <f t="shared" si="8"/>
        <v>-1783</v>
      </c>
      <c r="AG13" s="53">
        <v>-454.5</v>
      </c>
      <c r="AH13" s="52">
        <v>-439.1</v>
      </c>
      <c r="AI13" s="52">
        <v>-452.5</v>
      </c>
      <c r="AJ13" s="36">
        <v>-430.6</v>
      </c>
      <c r="AK13" s="836">
        <f t="shared" si="20"/>
        <v>-1776.6999999999998</v>
      </c>
      <c r="AL13" s="848"/>
      <c r="AM13" s="53">
        <v>-454.5</v>
      </c>
      <c r="AN13" s="52">
        <v>-470.8</v>
      </c>
      <c r="AO13" s="52">
        <v>-523.5</v>
      </c>
      <c r="AP13" s="36">
        <v>-521.90000000000009</v>
      </c>
      <c r="AQ13" s="836">
        <f t="shared" si="21"/>
        <v>-1970.7</v>
      </c>
      <c r="AR13" s="53">
        <v>-440.1</v>
      </c>
      <c r="AS13" s="52">
        <v>-444.6</v>
      </c>
      <c r="AT13" s="52">
        <v>-448.5</v>
      </c>
      <c r="AU13" s="36">
        <v>-453.2</v>
      </c>
      <c r="AV13" s="836">
        <f t="shared" si="22"/>
        <v>-1786.4</v>
      </c>
      <c r="AW13" s="53">
        <v>-547.1</v>
      </c>
      <c r="AX13" s="52">
        <v>-553.6</v>
      </c>
      <c r="AY13" s="52">
        <v>-561.5</v>
      </c>
      <c r="AZ13" s="36">
        <v>-567.5</v>
      </c>
      <c r="BA13" s="836">
        <f t="shared" si="23"/>
        <v>-2229.6999999999998</v>
      </c>
      <c r="BB13" s="53">
        <v>-564.5</v>
      </c>
      <c r="BC13" s="52">
        <v>-565.9</v>
      </c>
      <c r="BD13" s="52">
        <v>-573</v>
      </c>
      <c r="BE13" s="36">
        <v>-602.29999999999995</v>
      </c>
      <c r="BF13" s="836">
        <f t="shared" si="24"/>
        <v>-2305.6999999999998</v>
      </c>
      <c r="BG13" s="53">
        <v>-521.20000000000005</v>
      </c>
      <c r="BH13" s="52">
        <v>-457.2</v>
      </c>
      <c r="BI13" s="52">
        <v>-463.6</v>
      </c>
      <c r="BJ13" s="36">
        <v>-461.2</v>
      </c>
      <c r="BK13" s="836">
        <f t="shared" si="25"/>
        <v>-1903.2</v>
      </c>
      <c r="BL13" s="53">
        <v>-446.3</v>
      </c>
      <c r="BM13" s="52">
        <v>-467.5</v>
      </c>
      <c r="BN13" s="52">
        <v>-452.1</v>
      </c>
      <c r="BO13" s="36">
        <f>-1829-BN13-BM13-BL13</f>
        <v>-463.10000000000008</v>
      </c>
      <c r="BP13" s="836">
        <f t="shared" si="26"/>
        <v>-1829.0000000000002</v>
      </c>
      <c r="BQ13" s="710">
        <v>-462.5</v>
      </c>
      <c r="BR13" s="52">
        <v>-468.7</v>
      </c>
      <c r="BS13" s="52">
        <v>-475</v>
      </c>
      <c r="BT13" s="52">
        <v>-494.2</v>
      </c>
      <c r="BU13" s="836">
        <f t="shared" si="27"/>
        <v>-1900.4</v>
      </c>
      <c r="BV13" s="710">
        <v>-481</v>
      </c>
      <c r="BW13" s="52">
        <v>-455.7</v>
      </c>
      <c r="BX13" s="52">
        <v>-303.2</v>
      </c>
      <c r="BY13" s="52">
        <v>-373.2</v>
      </c>
      <c r="BZ13" s="836">
        <f t="shared" si="28"/>
        <v>-1613.1000000000001</v>
      </c>
      <c r="CA13" s="710">
        <v>-374.6</v>
      </c>
      <c r="CB13" s="52"/>
      <c r="CC13" s="52"/>
      <c r="CD13" s="52"/>
      <c r="CE13" s="836">
        <f t="shared" si="29"/>
        <v>-374.6</v>
      </c>
      <c r="CF13" s="941"/>
      <c r="CG13" s="714"/>
      <c r="CH13" s="714"/>
    </row>
    <row r="14" spans="1:92" ht="18.75" customHeight="1">
      <c r="A14" s="868" t="s">
        <v>47</v>
      </c>
      <c r="B14" s="859" t="s">
        <v>48</v>
      </c>
      <c r="C14" s="53">
        <v>-5.5</v>
      </c>
      <c r="D14" s="52">
        <v>-7.6</v>
      </c>
      <c r="E14" s="52">
        <v>-7</v>
      </c>
      <c r="F14" s="52">
        <v>-16.100000000000001</v>
      </c>
      <c r="G14" s="836">
        <f>SUM(C14:F14)</f>
        <v>-36.200000000000003</v>
      </c>
      <c r="H14" s="53">
        <v>-25.8</v>
      </c>
      <c r="I14" s="52">
        <v>-16.8</v>
      </c>
      <c r="J14" s="52">
        <v>-10.7</v>
      </c>
      <c r="K14" s="52">
        <v>-10.6</v>
      </c>
      <c r="L14" s="836">
        <f>SUM(H14:K14)</f>
        <v>-63.9</v>
      </c>
      <c r="M14" s="53">
        <v>-10.300000000000011</v>
      </c>
      <c r="N14" s="52">
        <v>-189.7</v>
      </c>
      <c r="O14" s="52">
        <v>-348.6</v>
      </c>
      <c r="P14" s="52">
        <v>-376.6</v>
      </c>
      <c r="Q14" s="836">
        <f>SUM(M14:P14)</f>
        <v>-925.2</v>
      </c>
      <c r="R14" s="53">
        <v>-332.5</v>
      </c>
      <c r="S14" s="52">
        <v>-291.7</v>
      </c>
      <c r="T14" s="52">
        <v>-314.89999999999998</v>
      </c>
      <c r="U14" s="50">
        <v>-393.59999999999991</v>
      </c>
      <c r="V14" s="836">
        <v>-1332.8</v>
      </c>
      <c r="W14" s="53">
        <v>-326.8</v>
      </c>
      <c r="X14" s="53">
        <v>-317.3</v>
      </c>
      <c r="Y14" s="36">
        <v>-330.5</v>
      </c>
      <c r="Z14" s="50">
        <v>-380.1</v>
      </c>
      <c r="AA14" s="836">
        <f>SUM(W14:Z14)</f>
        <v>-1354.7</v>
      </c>
      <c r="AB14" s="53">
        <v>-323.60000000000002</v>
      </c>
      <c r="AC14" s="53">
        <v>-318.8</v>
      </c>
      <c r="AD14" s="36">
        <v>-323.3</v>
      </c>
      <c r="AE14" s="36">
        <v>-357.9</v>
      </c>
      <c r="AF14" s="836">
        <f t="shared" si="8"/>
        <v>-1323.6</v>
      </c>
      <c r="AG14" s="53">
        <v>-258.5</v>
      </c>
      <c r="AH14" s="52">
        <v>-275.2</v>
      </c>
      <c r="AI14" s="52">
        <v>-277.3</v>
      </c>
      <c r="AJ14" s="36">
        <v>-331.7</v>
      </c>
      <c r="AK14" s="836">
        <f t="shared" si="20"/>
        <v>-1142.7</v>
      </c>
      <c r="AL14" s="848"/>
      <c r="AM14" s="53">
        <v>-272.5</v>
      </c>
      <c r="AN14" s="52">
        <v>-282.5</v>
      </c>
      <c r="AO14" s="52">
        <v>-281.10000000000002</v>
      </c>
      <c r="AP14" s="36">
        <v>-338.1</v>
      </c>
      <c r="AQ14" s="836">
        <f t="shared" si="21"/>
        <v>-1174.2</v>
      </c>
      <c r="AR14" s="53">
        <v>-289.39999999999998</v>
      </c>
      <c r="AS14" s="52">
        <v>-321.7</v>
      </c>
      <c r="AT14" s="52">
        <v>-340.7</v>
      </c>
      <c r="AU14" s="36">
        <v>-368.6</v>
      </c>
      <c r="AV14" s="836">
        <f t="shared" si="22"/>
        <v>-1320.4</v>
      </c>
      <c r="AW14" s="53">
        <v>-289.39999999999998</v>
      </c>
      <c r="AX14" s="52">
        <v>-321.7</v>
      </c>
      <c r="AY14" s="52">
        <v>-340.7</v>
      </c>
      <c r="AZ14" s="36">
        <v>-368.6</v>
      </c>
      <c r="BA14" s="836">
        <f t="shared" si="23"/>
        <v>-1320.4</v>
      </c>
      <c r="BB14" s="53">
        <v>-282.3</v>
      </c>
      <c r="BC14" s="52">
        <v>-334.8</v>
      </c>
      <c r="BD14" s="52">
        <v>-361.6</v>
      </c>
      <c r="BE14" s="36">
        <v>-359.5</v>
      </c>
      <c r="BF14" s="836">
        <f t="shared" si="24"/>
        <v>-1338.2</v>
      </c>
      <c r="BG14" s="53">
        <v>-276.7</v>
      </c>
      <c r="BH14" s="52">
        <v>-289.2</v>
      </c>
      <c r="BI14" s="52">
        <v>-297.60000000000002</v>
      </c>
      <c r="BJ14" s="36">
        <v>-337.2</v>
      </c>
      <c r="BK14" s="836">
        <f t="shared" si="25"/>
        <v>-1200.7</v>
      </c>
      <c r="BL14" s="53">
        <v>-277.5</v>
      </c>
      <c r="BM14" s="52">
        <v>-382</v>
      </c>
      <c r="BN14" s="52">
        <v>-365.40000000000009</v>
      </c>
      <c r="BO14" s="36">
        <f>-1454.4-BN14-BM14-BL14</f>
        <v>-429.5</v>
      </c>
      <c r="BP14" s="836">
        <f t="shared" si="26"/>
        <v>-1454.4</v>
      </c>
      <c r="BQ14" s="710">
        <v>-392.6</v>
      </c>
      <c r="BR14" s="52">
        <v>-384</v>
      </c>
      <c r="BS14" s="52">
        <v>-348.1</v>
      </c>
      <c r="BT14" s="52">
        <v>-415.2</v>
      </c>
      <c r="BU14" s="836">
        <f t="shared" si="27"/>
        <v>-1539.9</v>
      </c>
      <c r="BV14" s="710">
        <v>-328</v>
      </c>
      <c r="BW14" s="52">
        <v>-333.7</v>
      </c>
      <c r="BX14" s="52">
        <v>-365.4</v>
      </c>
      <c r="BY14" s="52">
        <v>-404.8</v>
      </c>
      <c r="BZ14" s="836">
        <f t="shared" si="28"/>
        <v>-1431.8999999999999</v>
      </c>
      <c r="CA14" s="710">
        <v>-328.4</v>
      </c>
      <c r="CB14" s="52"/>
      <c r="CC14" s="52"/>
      <c r="CD14" s="52"/>
      <c r="CE14" s="836">
        <f t="shared" si="29"/>
        <v>-328.4</v>
      </c>
      <c r="CF14" s="941"/>
      <c r="CG14" s="714"/>
      <c r="CH14" s="714"/>
    </row>
    <row r="15" spans="1:92" ht="18.75" customHeight="1">
      <c r="A15" s="868" t="s">
        <v>49</v>
      </c>
      <c r="B15" s="859" t="s">
        <v>50</v>
      </c>
      <c r="C15" s="53">
        <v>-206.8</v>
      </c>
      <c r="D15" s="52">
        <v>-226.6</v>
      </c>
      <c r="E15" s="52">
        <v>-171.5</v>
      </c>
      <c r="F15" s="52">
        <v>-219</v>
      </c>
      <c r="G15" s="836">
        <f>SUM(C15:F15)</f>
        <v>-823.9</v>
      </c>
      <c r="H15" s="53">
        <v>-207.5</v>
      </c>
      <c r="I15" s="52">
        <v>-239.5</v>
      </c>
      <c r="J15" s="52">
        <v>-219.3</v>
      </c>
      <c r="K15" s="52">
        <v>-260.7</v>
      </c>
      <c r="L15" s="836">
        <f>SUM(H15:K15)</f>
        <v>-927</v>
      </c>
      <c r="M15" s="53">
        <v>-210.60000000000002</v>
      </c>
      <c r="N15" s="52">
        <v>-260.89999999999998</v>
      </c>
      <c r="O15" s="52">
        <v>-262.39999999999998</v>
      </c>
      <c r="P15" s="52">
        <v>-295.60000000000002</v>
      </c>
      <c r="Q15" s="836">
        <f>SUM(M15:P15)</f>
        <v>-1029.5</v>
      </c>
      <c r="R15" s="53">
        <v>-235.5</v>
      </c>
      <c r="S15" s="52">
        <v>-274</v>
      </c>
      <c r="T15" s="52">
        <v>-257.3</v>
      </c>
      <c r="U15" s="50">
        <v>-299.10000000000014</v>
      </c>
      <c r="V15" s="836">
        <v>-1065.9000000000001</v>
      </c>
      <c r="W15" s="53">
        <v>-248.5</v>
      </c>
      <c r="X15" s="53">
        <v>-316.3</v>
      </c>
      <c r="Y15" s="36">
        <v>-252.1</v>
      </c>
      <c r="Z15" s="50">
        <v>-297.3</v>
      </c>
      <c r="AA15" s="836">
        <f>SUM(W15:Z15)</f>
        <v>-1114.2</v>
      </c>
      <c r="AB15" s="53">
        <v>-264.3</v>
      </c>
      <c r="AC15" s="53">
        <v>-298.39999999999998</v>
      </c>
      <c r="AD15" s="36">
        <v>-269.7</v>
      </c>
      <c r="AE15" s="36">
        <v>-321.2</v>
      </c>
      <c r="AF15" s="836">
        <f t="shared" si="8"/>
        <v>-1153.6000000000001</v>
      </c>
      <c r="AG15" s="53">
        <v>-269.39999999999998</v>
      </c>
      <c r="AH15" s="52">
        <v>-316.8</v>
      </c>
      <c r="AI15" s="52">
        <v>-323.5</v>
      </c>
      <c r="AJ15" s="36">
        <v>-406.8</v>
      </c>
      <c r="AK15" s="836">
        <f t="shared" si="20"/>
        <v>-1316.5</v>
      </c>
      <c r="AL15" s="848"/>
      <c r="AM15" s="53">
        <v>-269.39999999999998</v>
      </c>
      <c r="AN15" s="52">
        <v>-323</v>
      </c>
      <c r="AO15" s="52">
        <v>-338.9</v>
      </c>
      <c r="AP15" s="36">
        <v>-424</v>
      </c>
      <c r="AQ15" s="836">
        <f t="shared" si="21"/>
        <v>-1355.3</v>
      </c>
      <c r="AR15" s="53">
        <v>-369</v>
      </c>
      <c r="AS15" s="52">
        <v>-418</v>
      </c>
      <c r="AT15" s="52">
        <v>-423</v>
      </c>
      <c r="AU15" s="36">
        <v>-456.9</v>
      </c>
      <c r="AV15" s="836">
        <f t="shared" si="22"/>
        <v>-1666.9</v>
      </c>
      <c r="AW15" s="53">
        <v>-366.9</v>
      </c>
      <c r="AX15" s="52">
        <v>-415.8</v>
      </c>
      <c r="AY15" s="52">
        <v>-421</v>
      </c>
      <c r="AZ15" s="36">
        <v>-454.8</v>
      </c>
      <c r="BA15" s="836">
        <f t="shared" si="23"/>
        <v>-1658.5</v>
      </c>
      <c r="BB15" s="53">
        <v>-388.8</v>
      </c>
      <c r="BC15" s="52">
        <v>-368.9</v>
      </c>
      <c r="BD15" s="52">
        <v>-396.7</v>
      </c>
      <c r="BE15" s="36">
        <v>-484</v>
      </c>
      <c r="BF15" s="836">
        <f t="shared" si="24"/>
        <v>-1638.4</v>
      </c>
      <c r="BG15" s="53">
        <v>-419.4</v>
      </c>
      <c r="BH15" s="52">
        <v>-449.2</v>
      </c>
      <c r="BI15" s="52">
        <v>-426.9</v>
      </c>
      <c r="BJ15" s="36">
        <v>-531.4</v>
      </c>
      <c r="BK15" s="836">
        <f t="shared" si="25"/>
        <v>-1826.9</v>
      </c>
      <c r="BL15" s="53">
        <v>-473.5</v>
      </c>
      <c r="BM15" s="52">
        <v>-504.9</v>
      </c>
      <c r="BN15" s="52">
        <v>-530</v>
      </c>
      <c r="BO15" s="36">
        <f>-2063.9-BN15-BM15-BL15</f>
        <v>-555.5</v>
      </c>
      <c r="BP15" s="836">
        <f t="shared" si="26"/>
        <v>-2063.9</v>
      </c>
      <c r="BQ15" s="710">
        <v>-514.5</v>
      </c>
      <c r="BR15" s="52">
        <v>-529.4</v>
      </c>
      <c r="BS15" s="52">
        <v>-516.6</v>
      </c>
      <c r="BT15" s="52">
        <v>-565.6</v>
      </c>
      <c r="BU15" s="836">
        <f t="shared" si="27"/>
        <v>-2126.1</v>
      </c>
      <c r="BV15" s="710">
        <v>-513</v>
      </c>
      <c r="BW15" s="52">
        <v>-555.4</v>
      </c>
      <c r="BX15" s="52">
        <v>-415.1</v>
      </c>
      <c r="BY15" s="52">
        <v>-590.29999999999995</v>
      </c>
      <c r="BZ15" s="836">
        <f t="shared" si="28"/>
        <v>-2073.8000000000002</v>
      </c>
      <c r="CA15" s="710">
        <v>-478.9</v>
      </c>
      <c r="CB15" s="52"/>
      <c r="CC15" s="52"/>
      <c r="CD15" s="52"/>
      <c r="CE15" s="836">
        <f t="shared" si="29"/>
        <v>-478.9</v>
      </c>
      <c r="CF15" s="941"/>
      <c r="CG15" s="714"/>
      <c r="CH15" s="714"/>
    </row>
    <row r="16" spans="1:92" ht="25.75">
      <c r="A16" s="868" t="s">
        <v>51</v>
      </c>
      <c r="B16" s="859" t="s">
        <v>52</v>
      </c>
      <c r="C16" s="53">
        <v>-71.5</v>
      </c>
      <c r="D16" s="52">
        <v>-71.8</v>
      </c>
      <c r="E16" s="52">
        <v>-73.7</v>
      </c>
      <c r="F16" s="52">
        <v>-95.7</v>
      </c>
      <c r="G16" s="836">
        <f>SUM(C16:F16)</f>
        <v>-312.7</v>
      </c>
      <c r="H16" s="53">
        <v>-79</v>
      </c>
      <c r="I16" s="52">
        <v>-81.3</v>
      </c>
      <c r="J16" s="52">
        <v>-79.3</v>
      </c>
      <c r="K16" s="52">
        <v>-92.4</v>
      </c>
      <c r="L16" s="836">
        <f>SUM(H16:K16)</f>
        <v>-332</v>
      </c>
      <c r="M16" s="53">
        <v>-75.400000000000006</v>
      </c>
      <c r="N16" s="52">
        <v>-132.19999999999999</v>
      </c>
      <c r="O16" s="52">
        <v>-186.8</v>
      </c>
      <c r="P16" s="52">
        <v>-218.3</v>
      </c>
      <c r="Q16" s="836">
        <f>SUM(M16:P16)</f>
        <v>-612.70000000000005</v>
      </c>
      <c r="R16" s="53">
        <v>-189.2</v>
      </c>
      <c r="S16" s="52">
        <v>-193.2</v>
      </c>
      <c r="T16" s="52">
        <v>-200.1</v>
      </c>
      <c r="U16" s="50">
        <v>-220.1</v>
      </c>
      <c r="V16" s="836">
        <v>-802.6</v>
      </c>
      <c r="W16" s="53">
        <v>-200.5</v>
      </c>
      <c r="X16" s="53">
        <v>-202.2</v>
      </c>
      <c r="Y16" s="36">
        <v>-202.6</v>
      </c>
      <c r="Z16" s="50">
        <v>-222.5</v>
      </c>
      <c r="AA16" s="836">
        <f>SUM(W16:Z16)</f>
        <v>-827.8</v>
      </c>
      <c r="AB16" s="53">
        <v>-211.1</v>
      </c>
      <c r="AC16" s="53">
        <v>-215.9</v>
      </c>
      <c r="AD16" s="36">
        <v>-224</v>
      </c>
      <c r="AE16" s="36">
        <v>-243.3</v>
      </c>
      <c r="AF16" s="836">
        <f t="shared" si="8"/>
        <v>-894.3</v>
      </c>
      <c r="AG16" s="53">
        <v>-205.2</v>
      </c>
      <c r="AH16" s="52">
        <v>-214.9</v>
      </c>
      <c r="AI16" s="52">
        <v>-217.1</v>
      </c>
      <c r="AJ16" s="36">
        <v>-265.60000000000002</v>
      </c>
      <c r="AK16" s="836">
        <f t="shared" si="20"/>
        <v>-902.80000000000007</v>
      </c>
      <c r="AL16" s="848"/>
      <c r="AM16" s="53">
        <v>-205.2</v>
      </c>
      <c r="AN16" s="52">
        <v>-223.5</v>
      </c>
      <c r="AO16" s="52">
        <v>-236.5</v>
      </c>
      <c r="AP16" s="36">
        <v>-268.69999999999993</v>
      </c>
      <c r="AQ16" s="836">
        <f t="shared" si="21"/>
        <v>-933.9</v>
      </c>
      <c r="AR16" s="53">
        <v>-249.5</v>
      </c>
      <c r="AS16" s="52">
        <v>-245.6</v>
      </c>
      <c r="AT16" s="52">
        <v>-261</v>
      </c>
      <c r="AU16" s="36">
        <v>-282.7</v>
      </c>
      <c r="AV16" s="836">
        <f t="shared" si="22"/>
        <v>-1038.8</v>
      </c>
      <c r="AW16" s="53">
        <v>-244.8</v>
      </c>
      <c r="AX16" s="52">
        <v>-241.8</v>
      </c>
      <c r="AY16" s="52">
        <v>-256.60000000000002</v>
      </c>
      <c r="AZ16" s="36">
        <v>-278.10000000000002</v>
      </c>
      <c r="BA16" s="836">
        <f t="shared" si="23"/>
        <v>-1021.3000000000001</v>
      </c>
      <c r="BB16" s="53">
        <v>-224.4</v>
      </c>
      <c r="BC16" s="52">
        <v>-232</v>
      </c>
      <c r="BD16" s="52">
        <v>-247.4</v>
      </c>
      <c r="BE16" s="36">
        <v>-259.39999999999998</v>
      </c>
      <c r="BF16" s="836">
        <f t="shared" si="24"/>
        <v>-963.19999999999993</v>
      </c>
      <c r="BG16" s="53">
        <v>-229</v>
      </c>
      <c r="BH16" s="52">
        <v>-230.6</v>
      </c>
      <c r="BI16" s="52">
        <v>-280.60000000000002</v>
      </c>
      <c r="BJ16" s="36">
        <v>-284.8</v>
      </c>
      <c r="BK16" s="836">
        <f t="shared" si="25"/>
        <v>-1025</v>
      </c>
      <c r="BL16" s="53">
        <v>-251.1</v>
      </c>
      <c r="BM16" s="52">
        <v>-256.2</v>
      </c>
      <c r="BN16" s="52">
        <v>-256.60000000000002</v>
      </c>
      <c r="BO16" s="36">
        <f>-1035-BN16-BM16-BL16</f>
        <v>-271.10000000000002</v>
      </c>
      <c r="BP16" s="836">
        <f t="shared" si="26"/>
        <v>-1035</v>
      </c>
      <c r="BQ16" s="710">
        <v>-243.6</v>
      </c>
      <c r="BR16" s="52">
        <v>-247.7</v>
      </c>
      <c r="BS16" s="52">
        <v>-258.2</v>
      </c>
      <c r="BT16" s="52">
        <v>-277.39999999999998</v>
      </c>
      <c r="BU16" s="836">
        <f t="shared" si="27"/>
        <v>-1026.9000000000001</v>
      </c>
      <c r="BV16" s="710">
        <v>-268.7</v>
      </c>
      <c r="BW16" s="52">
        <v>-255.8</v>
      </c>
      <c r="BX16" s="52">
        <v>-264.10000000000002</v>
      </c>
      <c r="BY16" s="52">
        <v>-290.5</v>
      </c>
      <c r="BZ16" s="836">
        <f t="shared" si="28"/>
        <v>-1079.0999999999999</v>
      </c>
      <c r="CA16" s="710">
        <v>-258.7</v>
      </c>
      <c r="CB16" s="52"/>
      <c r="CC16" s="52"/>
      <c r="CD16" s="52"/>
      <c r="CE16" s="836">
        <f t="shared" si="29"/>
        <v>-258.7</v>
      </c>
      <c r="CF16" s="941"/>
      <c r="CG16" s="714"/>
      <c r="CH16" s="714"/>
    </row>
    <row r="17" spans="1:89" ht="18.75" customHeight="1">
      <c r="A17" s="868" t="s">
        <v>53</v>
      </c>
      <c r="B17" s="859" t="s">
        <v>54</v>
      </c>
      <c r="C17" s="53"/>
      <c r="D17" s="52"/>
      <c r="E17" s="52"/>
      <c r="F17" s="52"/>
      <c r="G17" s="836"/>
      <c r="H17" s="53"/>
      <c r="I17" s="52"/>
      <c r="J17" s="52"/>
      <c r="K17" s="52"/>
      <c r="L17" s="836"/>
      <c r="M17" s="53"/>
      <c r="N17" s="52"/>
      <c r="O17" s="52"/>
      <c r="P17" s="52"/>
      <c r="Q17" s="836"/>
      <c r="R17" s="53"/>
      <c r="S17" s="52"/>
      <c r="T17" s="52"/>
      <c r="U17" s="50"/>
      <c r="V17" s="836"/>
      <c r="W17" s="53"/>
      <c r="X17" s="53"/>
      <c r="Y17" s="36"/>
      <c r="Z17" s="50"/>
      <c r="AA17" s="836"/>
      <c r="AB17" s="53"/>
      <c r="AC17" s="53"/>
      <c r="AD17" s="36"/>
      <c r="AE17" s="36"/>
      <c r="AF17" s="836"/>
      <c r="AG17" s="53"/>
      <c r="AH17" s="52"/>
      <c r="AI17" s="52"/>
      <c r="AJ17" s="36"/>
      <c r="AK17" s="836"/>
      <c r="AL17" s="848"/>
      <c r="AM17" s="53"/>
      <c r="AN17" s="52"/>
      <c r="AO17" s="52"/>
      <c r="AP17" s="36"/>
      <c r="AQ17" s="836"/>
      <c r="AR17" s="53"/>
      <c r="AS17" s="52"/>
      <c r="AT17" s="52"/>
      <c r="AU17" s="36"/>
      <c r="AV17" s="836"/>
      <c r="AW17" s="53"/>
      <c r="AX17" s="52"/>
      <c r="AY17" s="52"/>
      <c r="AZ17" s="36"/>
      <c r="BA17" s="836"/>
      <c r="BB17" s="53"/>
      <c r="BC17" s="52"/>
      <c r="BD17" s="52"/>
      <c r="BE17" s="36"/>
      <c r="BF17" s="836"/>
      <c r="BG17" s="53"/>
      <c r="BH17" s="52"/>
      <c r="BI17" s="52"/>
      <c r="BJ17" s="36"/>
      <c r="BK17" s="836"/>
      <c r="BL17" s="53"/>
      <c r="BM17" s="52"/>
      <c r="BN17" s="52"/>
      <c r="BO17" s="36"/>
      <c r="BP17" s="836"/>
      <c r="BQ17" s="710"/>
      <c r="BR17" s="52"/>
      <c r="BS17" s="52">
        <v>-255.1</v>
      </c>
      <c r="BT17" s="52">
        <v>-268.2</v>
      </c>
      <c r="BU17" s="836">
        <f t="shared" si="27"/>
        <v>-523.29999999999995</v>
      </c>
      <c r="BV17" s="710">
        <v>-241.8</v>
      </c>
      <c r="BW17" s="52">
        <v>-194.1</v>
      </c>
      <c r="BX17" s="52">
        <v>-262.2</v>
      </c>
      <c r="BY17" s="52">
        <v>-263.39999999999998</v>
      </c>
      <c r="BZ17" s="836">
        <f t="shared" si="28"/>
        <v>-961.49999999999989</v>
      </c>
      <c r="CA17" s="710">
        <v>-263.5</v>
      </c>
      <c r="CB17" s="52"/>
      <c r="CC17" s="52"/>
      <c r="CD17" s="52"/>
      <c r="CE17" s="836">
        <f t="shared" si="29"/>
        <v>-263.5</v>
      </c>
      <c r="CF17" s="941"/>
      <c r="CG17" s="714"/>
      <c r="CH17" s="714"/>
    </row>
    <row r="18" spans="1:89" s="745" customFormat="1" ht="18.75" customHeight="1">
      <c r="A18" s="862" t="s">
        <v>55</v>
      </c>
      <c r="B18" s="862" t="s">
        <v>56</v>
      </c>
      <c r="C18" s="742"/>
      <c r="D18" s="740"/>
      <c r="E18" s="740"/>
      <c r="F18" s="740"/>
      <c r="G18" s="837"/>
      <c r="H18" s="742"/>
      <c r="I18" s="740"/>
      <c r="J18" s="740"/>
      <c r="K18" s="740"/>
      <c r="L18" s="837"/>
      <c r="M18" s="742"/>
      <c r="N18" s="740"/>
      <c r="O18" s="740"/>
      <c r="P18" s="740"/>
      <c r="Q18" s="837"/>
      <c r="R18" s="742"/>
      <c r="S18" s="740"/>
      <c r="T18" s="740"/>
      <c r="U18" s="741"/>
      <c r="V18" s="837"/>
      <c r="W18" s="742"/>
      <c r="X18" s="742"/>
      <c r="Y18" s="743"/>
      <c r="Z18" s="741"/>
      <c r="AA18" s="837"/>
      <c r="AB18" s="742"/>
      <c r="AC18" s="742"/>
      <c r="AD18" s="743"/>
      <c r="AE18" s="743"/>
      <c r="AF18" s="837"/>
      <c r="AG18" s="742"/>
      <c r="AH18" s="740"/>
      <c r="AI18" s="740"/>
      <c r="AJ18" s="743"/>
      <c r="AK18" s="837"/>
      <c r="AL18" s="850"/>
      <c r="AM18" s="742"/>
      <c r="AN18" s="740"/>
      <c r="AO18" s="740"/>
      <c r="AP18" s="743"/>
      <c r="AQ18" s="837"/>
      <c r="AR18" s="742"/>
      <c r="AS18" s="740"/>
      <c r="AT18" s="740"/>
      <c r="AU18" s="743"/>
      <c r="AV18" s="837"/>
      <c r="AW18" s="742"/>
      <c r="AX18" s="740"/>
      <c r="AY18" s="740"/>
      <c r="AZ18" s="743"/>
      <c r="BA18" s="837"/>
      <c r="BB18" s="742"/>
      <c r="BC18" s="740"/>
      <c r="BD18" s="740"/>
      <c r="BE18" s="743"/>
      <c r="BF18" s="837"/>
      <c r="BG18" s="742"/>
      <c r="BH18" s="740"/>
      <c r="BI18" s="740"/>
      <c r="BJ18" s="743"/>
      <c r="BK18" s="837"/>
      <c r="BL18" s="742"/>
      <c r="BM18" s="740"/>
      <c r="BN18" s="740"/>
      <c r="BO18" s="743"/>
      <c r="BP18" s="837"/>
      <c r="BQ18" s="744"/>
      <c r="BR18" s="740"/>
      <c r="BS18" s="740">
        <v>-8.5</v>
      </c>
      <c r="BT18" s="740">
        <v>-9.3000000000000007</v>
      </c>
      <c r="BU18" s="837">
        <f>SUM(BQ18:BT18)</f>
        <v>-17.8</v>
      </c>
      <c r="BV18" s="744">
        <v>-11.6</v>
      </c>
      <c r="BW18" s="740">
        <v>-12.3</v>
      </c>
      <c r="BX18" s="740">
        <v>-12.4</v>
      </c>
      <c r="BY18" s="740">
        <v>-17.600000000000001</v>
      </c>
      <c r="BZ18" s="837">
        <f>SUM(BV18:BY18)</f>
        <v>-53.9</v>
      </c>
      <c r="CA18" s="744">
        <v>-23.1</v>
      </c>
      <c r="CB18" s="740"/>
      <c r="CC18" s="740"/>
      <c r="CD18" s="740"/>
      <c r="CE18" s="837">
        <f>SUM(CA18:CD18)</f>
        <v>-23.1</v>
      </c>
      <c r="CF18" s="941"/>
      <c r="CG18" s="714"/>
      <c r="CH18" s="714"/>
    </row>
    <row r="19" spans="1:89" ht="18.75" customHeight="1">
      <c r="A19" s="868" t="s">
        <v>57</v>
      </c>
      <c r="B19" s="859" t="s">
        <v>58</v>
      </c>
      <c r="C19" s="53">
        <v>-40.6</v>
      </c>
      <c r="D19" s="52">
        <v>-40.299999999999997</v>
      </c>
      <c r="E19" s="52">
        <v>-38.9</v>
      </c>
      <c r="F19" s="52">
        <v>-58.6</v>
      </c>
      <c r="G19" s="836">
        <f t="shared" ref="G19:G24" si="30">SUM(C19:F19)</f>
        <v>-178.4</v>
      </c>
      <c r="H19" s="53">
        <v>-43.1</v>
      </c>
      <c r="I19" s="52">
        <v>-41.9</v>
      </c>
      <c r="J19" s="52">
        <v>-40.4</v>
      </c>
      <c r="K19" s="52">
        <v>-53.2</v>
      </c>
      <c r="L19" s="836">
        <f t="shared" ref="L19:L24" si="31">SUM(H19:K19)</f>
        <v>-178.60000000000002</v>
      </c>
      <c r="M19" s="53">
        <v>-44.600000000000009</v>
      </c>
      <c r="N19" s="52">
        <v>-108.2</v>
      </c>
      <c r="O19" s="52">
        <v>-118</v>
      </c>
      <c r="P19" s="52">
        <v>-150.9</v>
      </c>
      <c r="Q19" s="836">
        <f t="shared" ref="Q19:Q24" si="32">SUM(M19:P19)</f>
        <v>-421.70000000000005</v>
      </c>
      <c r="R19" s="53">
        <v>-129.1</v>
      </c>
      <c r="S19" s="52">
        <v>-140.80000000000001</v>
      </c>
      <c r="T19" s="52">
        <v>-122.3</v>
      </c>
      <c r="U19" s="50">
        <v>-158.00000000000006</v>
      </c>
      <c r="V19" s="836">
        <v>-550.20000000000005</v>
      </c>
      <c r="W19" s="53">
        <v>-137.9</v>
      </c>
      <c r="X19" s="53">
        <v>-138.19999999999999</v>
      </c>
      <c r="Y19" s="36">
        <v>-130.5</v>
      </c>
      <c r="Z19" s="50">
        <v>-163.9</v>
      </c>
      <c r="AA19" s="836">
        <f t="shared" si="7"/>
        <v>-570.5</v>
      </c>
      <c r="AB19" s="53">
        <v>-127.8</v>
      </c>
      <c r="AC19" s="53">
        <v>-133.69999999999999</v>
      </c>
      <c r="AD19" s="36">
        <v>-127.4</v>
      </c>
      <c r="AE19" s="36">
        <v>-164.2</v>
      </c>
      <c r="AF19" s="836">
        <f t="shared" si="8"/>
        <v>-553.09999999999991</v>
      </c>
      <c r="AG19" s="53">
        <v>-143.80000000000001</v>
      </c>
      <c r="AH19" s="52">
        <v>-146</v>
      </c>
      <c r="AI19" s="52">
        <v>-137</v>
      </c>
      <c r="AJ19" s="36">
        <v>-184.2</v>
      </c>
      <c r="AK19" s="836">
        <f t="shared" si="20"/>
        <v>-611</v>
      </c>
      <c r="AL19" s="851"/>
      <c r="AM19" s="53">
        <v>-143.80000000000001</v>
      </c>
      <c r="AN19" s="52">
        <v>-169.3</v>
      </c>
      <c r="AO19" s="52">
        <v>-187.1</v>
      </c>
      <c r="AP19" s="36">
        <v>-238.7</v>
      </c>
      <c r="AQ19" s="836">
        <f t="shared" si="21"/>
        <v>-738.90000000000009</v>
      </c>
      <c r="AR19" s="53">
        <v>-212.6</v>
      </c>
      <c r="AS19" s="52">
        <v>-205.6</v>
      </c>
      <c r="AT19" s="52">
        <v>-199.3</v>
      </c>
      <c r="AU19" s="36">
        <v>-253.1</v>
      </c>
      <c r="AV19" s="836">
        <f t="shared" si="22"/>
        <v>-870.6</v>
      </c>
      <c r="AW19" s="53">
        <v>-212.6</v>
      </c>
      <c r="AX19" s="52">
        <v>-205.6</v>
      </c>
      <c r="AY19" s="52">
        <v>-199.3</v>
      </c>
      <c r="AZ19" s="36">
        <v>-253.1</v>
      </c>
      <c r="BA19" s="836">
        <f t="shared" si="23"/>
        <v>-870.6</v>
      </c>
      <c r="BB19" s="53">
        <v>-221.9</v>
      </c>
      <c r="BC19" s="52">
        <v>-210.2</v>
      </c>
      <c r="BD19" s="52">
        <v>-208</v>
      </c>
      <c r="BE19" s="36">
        <v>-265.8</v>
      </c>
      <c r="BF19" s="836">
        <f t="shared" si="24"/>
        <v>-905.90000000000009</v>
      </c>
      <c r="BG19" s="53">
        <v>-236.9</v>
      </c>
      <c r="BH19" s="52">
        <v>-227.9</v>
      </c>
      <c r="BI19" s="52">
        <v>-210.8</v>
      </c>
      <c r="BJ19" s="36">
        <v>-271.3</v>
      </c>
      <c r="BK19" s="836">
        <f t="shared" si="25"/>
        <v>-946.90000000000009</v>
      </c>
      <c r="BL19" s="53">
        <v>-244.6</v>
      </c>
      <c r="BM19" s="52">
        <v>-247.1</v>
      </c>
      <c r="BN19" s="52">
        <v>-242.3</v>
      </c>
      <c r="BO19" s="36">
        <f>-1034-BN19-BM19-BL19</f>
        <v>-300</v>
      </c>
      <c r="BP19" s="836">
        <f t="shared" si="26"/>
        <v>-1034</v>
      </c>
      <c r="BQ19" s="710">
        <v>-276.10000000000002</v>
      </c>
      <c r="BR19" s="52">
        <v>-274.89999999999998</v>
      </c>
      <c r="BS19" s="52">
        <v>-271.60000000000002</v>
      </c>
      <c r="BT19" s="52">
        <v>-335.6</v>
      </c>
      <c r="BU19" s="836">
        <f t="shared" ref="BU19:BU22" si="33">SUM(BQ19:BT19)</f>
        <v>-1158.2</v>
      </c>
      <c r="BV19" s="710">
        <v>-304</v>
      </c>
      <c r="BW19" s="52">
        <v>-296.39999999999998</v>
      </c>
      <c r="BX19" s="52">
        <v>-290.10000000000002</v>
      </c>
      <c r="BY19" s="52">
        <v>-352.9</v>
      </c>
      <c r="BZ19" s="836">
        <f t="shared" ref="BZ19:BZ22" si="34">SUM(BV19:BY19)</f>
        <v>-1243.4000000000001</v>
      </c>
      <c r="CA19" s="710">
        <v>-320.60000000000002</v>
      </c>
      <c r="CB19" s="52"/>
      <c r="CC19" s="52"/>
      <c r="CD19" s="52"/>
      <c r="CE19" s="836">
        <f t="shared" ref="CE19:CE22" si="35">SUM(CA19:CD19)</f>
        <v>-320.60000000000002</v>
      </c>
      <c r="CF19" s="941"/>
      <c r="CG19" s="714"/>
      <c r="CH19" s="714"/>
    </row>
    <row r="20" spans="1:89" ht="30" customHeight="1">
      <c r="A20" s="868" t="s">
        <v>59</v>
      </c>
      <c r="B20" s="863" t="s">
        <v>60</v>
      </c>
      <c r="C20" s="53">
        <v>-5.9</v>
      </c>
      <c r="D20" s="52">
        <v>-8.4</v>
      </c>
      <c r="E20" s="52">
        <v>-5.3</v>
      </c>
      <c r="F20" s="52">
        <v>-7.8</v>
      </c>
      <c r="G20" s="836">
        <f t="shared" si="30"/>
        <v>-27.400000000000002</v>
      </c>
      <c r="H20" s="53">
        <v>-6.42</v>
      </c>
      <c r="I20" s="52">
        <v>-9.3000000000000007</v>
      </c>
      <c r="J20" s="52">
        <v>-5.3</v>
      </c>
      <c r="K20" s="52">
        <v>-7.2</v>
      </c>
      <c r="L20" s="836">
        <f t="shared" si="31"/>
        <v>-28.22</v>
      </c>
      <c r="M20" s="53">
        <v>-6.6999999999999993</v>
      </c>
      <c r="N20" s="52">
        <v>-18.100000000000001</v>
      </c>
      <c r="O20" s="52">
        <v>-15.3</v>
      </c>
      <c r="P20" s="52">
        <v>-27.5</v>
      </c>
      <c r="Q20" s="836">
        <f t="shared" si="32"/>
        <v>-67.599999999999994</v>
      </c>
      <c r="R20" s="53">
        <v>-18.7</v>
      </c>
      <c r="S20" s="52">
        <v>-27.8</v>
      </c>
      <c r="T20" s="52">
        <v>-8.5</v>
      </c>
      <c r="U20" s="50">
        <v>-7.6000000000000014</v>
      </c>
      <c r="V20" s="836">
        <v>-62.6</v>
      </c>
      <c r="W20" s="53">
        <v>-9.6</v>
      </c>
      <c r="X20" s="53">
        <v>-16.3</v>
      </c>
      <c r="Y20" s="36">
        <v>-5.7</v>
      </c>
      <c r="Z20" s="50">
        <v>-15.3</v>
      </c>
      <c r="AA20" s="836">
        <f t="shared" si="7"/>
        <v>-46.9</v>
      </c>
      <c r="AB20" s="53">
        <v>-19.3</v>
      </c>
      <c r="AC20" s="53">
        <v>-16.3</v>
      </c>
      <c r="AD20" s="36">
        <v>-21.3</v>
      </c>
      <c r="AE20" s="36">
        <v>-10.5</v>
      </c>
      <c r="AF20" s="836">
        <f t="shared" si="8"/>
        <v>-67.400000000000006</v>
      </c>
      <c r="AG20" s="53">
        <v>-11.9</v>
      </c>
      <c r="AH20" s="52">
        <v>-18.2</v>
      </c>
      <c r="AI20" s="52">
        <v>-32.9</v>
      </c>
      <c r="AJ20" s="36">
        <v>-19</v>
      </c>
      <c r="AK20" s="836">
        <f t="shared" si="20"/>
        <v>-82</v>
      </c>
      <c r="AL20" s="848"/>
      <c r="AM20" s="53">
        <v>-11.9</v>
      </c>
      <c r="AN20" s="52">
        <v>-17.600000000000001</v>
      </c>
      <c r="AO20" s="52">
        <v>-34.799999999999997</v>
      </c>
      <c r="AP20" s="36">
        <v>-19.600000000000009</v>
      </c>
      <c r="AQ20" s="836">
        <f t="shared" si="21"/>
        <v>-83.9</v>
      </c>
      <c r="AR20" s="53">
        <v>-34.6</v>
      </c>
      <c r="AS20" s="52">
        <v>-16.899999999999999</v>
      </c>
      <c r="AT20" s="52">
        <v>-19.8</v>
      </c>
      <c r="AU20" s="36">
        <v>-27.6</v>
      </c>
      <c r="AV20" s="836">
        <f t="shared" si="22"/>
        <v>-98.9</v>
      </c>
      <c r="AW20" s="53">
        <v>-34.6</v>
      </c>
      <c r="AX20" s="52">
        <v>-16.899999999999999</v>
      </c>
      <c r="AY20" s="52">
        <v>-19.8</v>
      </c>
      <c r="AZ20" s="36">
        <v>-27.6</v>
      </c>
      <c r="BA20" s="836">
        <f t="shared" si="23"/>
        <v>-98.9</v>
      </c>
      <c r="BB20" s="53">
        <v>-44.311173479999866</v>
      </c>
      <c r="BC20" s="52">
        <v>-36.6</v>
      </c>
      <c r="BD20" s="52">
        <v>-22.8</v>
      </c>
      <c r="BE20" s="36">
        <v>-25.2</v>
      </c>
      <c r="BF20" s="836">
        <f t="shared" si="24"/>
        <v>-128.91117347999986</v>
      </c>
      <c r="BG20" s="53">
        <v>-29.8</v>
      </c>
      <c r="BH20" s="52">
        <v>-22.7</v>
      </c>
      <c r="BI20" s="52">
        <v>-30.4</v>
      </c>
      <c r="BJ20" s="36">
        <v>-12.5</v>
      </c>
      <c r="BK20" s="836">
        <f t="shared" si="25"/>
        <v>-95.4</v>
      </c>
      <c r="BL20" s="53">
        <v>-24.8</v>
      </c>
      <c r="BM20" s="52">
        <v>-22.3</v>
      </c>
      <c r="BN20" s="52">
        <v>-25.6</v>
      </c>
      <c r="BO20" s="36">
        <f>-97.8-BN20-BM20-BL20</f>
        <v>-25.099999999999991</v>
      </c>
      <c r="BP20" s="836">
        <f t="shared" si="26"/>
        <v>-97.8</v>
      </c>
      <c r="BQ20" s="710">
        <v>-29.4</v>
      </c>
      <c r="BR20" s="52">
        <v>-32.5</v>
      </c>
      <c r="BS20" s="52">
        <v>-32.9</v>
      </c>
      <c r="BT20" s="52">
        <v>-26.2</v>
      </c>
      <c r="BU20" s="836">
        <f t="shared" si="33"/>
        <v>-121</v>
      </c>
      <c r="BV20" s="710">
        <v>-13.1</v>
      </c>
      <c r="BW20" s="52">
        <v>-28.4</v>
      </c>
      <c r="BX20" s="52">
        <v>-27.7</v>
      </c>
      <c r="BY20" s="52">
        <v>-21.4</v>
      </c>
      <c r="BZ20" s="836">
        <f t="shared" si="34"/>
        <v>-90.6</v>
      </c>
      <c r="CA20" s="710">
        <v>-30</v>
      </c>
      <c r="CB20" s="52"/>
      <c r="CC20" s="52"/>
      <c r="CD20" s="52"/>
      <c r="CE20" s="836">
        <f t="shared" si="35"/>
        <v>-30</v>
      </c>
      <c r="CF20" s="941"/>
      <c r="CG20" s="714"/>
      <c r="CH20" s="714"/>
    </row>
    <row r="21" spans="1:89" ht="18.75" customHeight="1">
      <c r="A21" s="868" t="s">
        <v>61</v>
      </c>
      <c r="B21" s="859" t="s">
        <v>62</v>
      </c>
      <c r="C21" s="53">
        <v>-30.1</v>
      </c>
      <c r="D21" s="52">
        <v>-33.200000000000003</v>
      </c>
      <c r="E21" s="52">
        <v>-29.7</v>
      </c>
      <c r="F21" s="52">
        <v>-34.200000000000003</v>
      </c>
      <c r="G21" s="836">
        <f t="shared" si="30"/>
        <v>-127.2</v>
      </c>
      <c r="H21" s="53">
        <v>-29.7</v>
      </c>
      <c r="I21" s="52">
        <v>-29.3</v>
      </c>
      <c r="J21" s="52">
        <v>-28.7</v>
      </c>
      <c r="K21" s="52">
        <v>-27.6</v>
      </c>
      <c r="L21" s="836">
        <f t="shared" si="31"/>
        <v>-115.30000000000001</v>
      </c>
      <c r="M21" s="53">
        <v>-26.000000000000007</v>
      </c>
      <c r="N21" s="52">
        <v>-43.4</v>
      </c>
      <c r="O21" s="52">
        <v>-87.2</v>
      </c>
      <c r="P21" s="52">
        <v>-55.5</v>
      </c>
      <c r="Q21" s="836">
        <f t="shared" si="32"/>
        <v>-212.10000000000002</v>
      </c>
      <c r="R21" s="53">
        <v>-53.8</v>
      </c>
      <c r="S21" s="52">
        <v>-56.1</v>
      </c>
      <c r="T21" s="52">
        <v>-44.6</v>
      </c>
      <c r="U21" s="50">
        <v>-59.099999999999994</v>
      </c>
      <c r="V21" s="836">
        <v>-213.5</v>
      </c>
      <c r="W21" s="53">
        <v>-50.7</v>
      </c>
      <c r="X21" s="53">
        <v>-67.599999999999994</v>
      </c>
      <c r="Y21" s="36">
        <v>-50.2</v>
      </c>
      <c r="Z21" s="50">
        <v>-76.5</v>
      </c>
      <c r="AA21" s="836">
        <f t="shared" si="7"/>
        <v>-245</v>
      </c>
      <c r="AB21" s="53">
        <v>-51.6</v>
      </c>
      <c r="AC21" s="53">
        <v>-49.5</v>
      </c>
      <c r="AD21" s="36">
        <v>-52.3</v>
      </c>
      <c r="AE21" s="36">
        <v>-73.5</v>
      </c>
      <c r="AF21" s="836">
        <f t="shared" si="8"/>
        <v>-226.89999999999998</v>
      </c>
      <c r="AG21" s="53">
        <v>-55.3</v>
      </c>
      <c r="AH21" s="52">
        <v>-55.2</v>
      </c>
      <c r="AI21" s="52">
        <v>-53.4</v>
      </c>
      <c r="AJ21" s="36">
        <v>-68</v>
      </c>
      <c r="AK21" s="836">
        <f t="shared" si="20"/>
        <v>-231.9</v>
      </c>
      <c r="AL21" s="848"/>
      <c r="AM21" s="53">
        <v>-55.3</v>
      </c>
      <c r="AN21" s="52">
        <v>-61.8</v>
      </c>
      <c r="AO21" s="52">
        <v>-69.099999999999994</v>
      </c>
      <c r="AP21" s="36">
        <v>-86.800000000000011</v>
      </c>
      <c r="AQ21" s="836">
        <f t="shared" si="21"/>
        <v>-273</v>
      </c>
      <c r="AR21" s="53">
        <v>-70.599999999999994</v>
      </c>
      <c r="AS21" s="52">
        <v>-73.599999999999994</v>
      </c>
      <c r="AT21" s="52">
        <v>-76.599999999999994</v>
      </c>
      <c r="AU21" s="36">
        <v>-80.7</v>
      </c>
      <c r="AV21" s="836">
        <f t="shared" si="22"/>
        <v>-301.5</v>
      </c>
      <c r="AW21" s="53">
        <v>-57.8</v>
      </c>
      <c r="AX21" s="52">
        <v>-60.4</v>
      </c>
      <c r="AY21" s="52">
        <v>-62.1</v>
      </c>
      <c r="AZ21" s="36">
        <v>-63.8</v>
      </c>
      <c r="BA21" s="836">
        <f t="shared" si="23"/>
        <v>-244.09999999999997</v>
      </c>
      <c r="BB21" s="53">
        <v>-65.099999999999994</v>
      </c>
      <c r="BC21" s="52">
        <v>-71.099999999999994</v>
      </c>
      <c r="BD21" s="52">
        <v>-76.3</v>
      </c>
      <c r="BE21" s="36">
        <v>-120.1</v>
      </c>
      <c r="BF21" s="836">
        <f t="shared" si="24"/>
        <v>-332.6</v>
      </c>
      <c r="BG21" s="53">
        <v>-93.2</v>
      </c>
      <c r="BH21" s="52">
        <v>-158.30000000000001</v>
      </c>
      <c r="BI21" s="52">
        <v>-95.7</v>
      </c>
      <c r="BJ21" s="36">
        <v>-110.5</v>
      </c>
      <c r="BK21" s="836">
        <f t="shared" si="25"/>
        <v>-457.7</v>
      </c>
      <c r="BL21" s="53">
        <v>-106.4</v>
      </c>
      <c r="BM21" s="92">
        <v>-127.4</v>
      </c>
      <c r="BN21" s="93">
        <v>-182.1</v>
      </c>
      <c r="BO21" s="86">
        <f>-614.2-BN21-BM21-BL21</f>
        <v>-198.30000000000004</v>
      </c>
      <c r="BP21" s="836">
        <f t="shared" si="26"/>
        <v>-614.20000000000005</v>
      </c>
      <c r="BQ21" s="710">
        <v>-164.6</v>
      </c>
      <c r="BR21" s="92">
        <v>-183.9</v>
      </c>
      <c r="BS21" s="52">
        <v>-169.6</v>
      </c>
      <c r="BT21" s="52">
        <v>-242.2</v>
      </c>
      <c r="BU21" s="836">
        <f t="shared" si="33"/>
        <v>-760.3</v>
      </c>
      <c r="BV21" s="710">
        <v>-164.1</v>
      </c>
      <c r="BW21" s="92">
        <v>-146.19999999999999</v>
      </c>
      <c r="BX21" s="92">
        <v>-190.3</v>
      </c>
      <c r="BY21" s="52">
        <v>-270.60000000000002</v>
      </c>
      <c r="BZ21" s="836">
        <f t="shared" si="34"/>
        <v>-771.2</v>
      </c>
      <c r="CA21" s="710">
        <v>-196.8</v>
      </c>
      <c r="CB21" s="92"/>
      <c r="CC21" s="92"/>
      <c r="CD21" s="52"/>
      <c r="CE21" s="836">
        <f t="shared" si="35"/>
        <v>-196.8</v>
      </c>
      <c r="CF21" s="941"/>
      <c r="CG21" s="714"/>
      <c r="CH21" s="714"/>
    </row>
    <row r="22" spans="1:89" s="745" customFormat="1" ht="18.75" customHeight="1">
      <c r="A22" s="862" t="s">
        <v>55</v>
      </c>
      <c r="B22" s="862" t="s">
        <v>56</v>
      </c>
      <c r="C22" s="742"/>
      <c r="D22" s="740"/>
      <c r="E22" s="740"/>
      <c r="F22" s="740"/>
      <c r="G22" s="837"/>
      <c r="H22" s="742"/>
      <c r="I22" s="740"/>
      <c r="J22" s="740"/>
      <c r="K22" s="740"/>
      <c r="L22" s="837"/>
      <c r="M22" s="742"/>
      <c r="N22" s="740"/>
      <c r="O22" s="740"/>
      <c r="P22" s="740"/>
      <c r="Q22" s="837"/>
      <c r="R22" s="742"/>
      <c r="S22" s="740"/>
      <c r="T22" s="740"/>
      <c r="U22" s="741"/>
      <c r="V22" s="837"/>
      <c r="W22" s="742"/>
      <c r="X22" s="742"/>
      <c r="Y22" s="743"/>
      <c r="Z22" s="741"/>
      <c r="AA22" s="837"/>
      <c r="AB22" s="742"/>
      <c r="AC22" s="742"/>
      <c r="AD22" s="743"/>
      <c r="AE22" s="743"/>
      <c r="AF22" s="837"/>
      <c r="AG22" s="742"/>
      <c r="AH22" s="740"/>
      <c r="AI22" s="740"/>
      <c r="AJ22" s="743"/>
      <c r="AK22" s="837"/>
      <c r="AL22" s="850"/>
      <c r="AM22" s="742"/>
      <c r="AN22" s="740"/>
      <c r="AO22" s="740"/>
      <c r="AP22" s="743"/>
      <c r="AQ22" s="837"/>
      <c r="AR22" s="742"/>
      <c r="AS22" s="740"/>
      <c r="AT22" s="740"/>
      <c r="AU22" s="743"/>
      <c r="AV22" s="837"/>
      <c r="AW22" s="742"/>
      <c r="AX22" s="740"/>
      <c r="AY22" s="740"/>
      <c r="AZ22" s="743"/>
      <c r="BA22" s="837"/>
      <c r="BB22" s="742"/>
      <c r="BC22" s="740"/>
      <c r="BD22" s="740"/>
      <c r="BE22" s="743"/>
      <c r="BF22" s="837"/>
      <c r="BG22" s="742"/>
      <c r="BH22" s="740"/>
      <c r="BI22" s="740"/>
      <c r="BJ22" s="743"/>
      <c r="BK22" s="837"/>
      <c r="BL22" s="742"/>
      <c r="BM22" s="746"/>
      <c r="BN22" s="747"/>
      <c r="BO22" s="748"/>
      <c r="BP22" s="837"/>
      <c r="BQ22" s="744"/>
      <c r="BR22" s="746"/>
      <c r="BS22" s="747">
        <v>-0.4</v>
      </c>
      <c r="BT22" s="746">
        <v>-1</v>
      </c>
      <c r="BU22" s="837">
        <f t="shared" si="33"/>
        <v>-1.4</v>
      </c>
      <c r="BV22" s="744">
        <v>-1</v>
      </c>
      <c r="BW22" s="746">
        <v>-1</v>
      </c>
      <c r="BX22" s="746">
        <v>-1.3</v>
      </c>
      <c r="BY22" s="746">
        <v>-1.1000000000000001</v>
      </c>
      <c r="BZ22" s="837">
        <f t="shared" si="34"/>
        <v>-4.4000000000000004</v>
      </c>
      <c r="CA22" s="744">
        <v>-1.1000000000000001</v>
      </c>
      <c r="CB22" s="746"/>
      <c r="CC22" s="746"/>
      <c r="CD22" s="746"/>
      <c r="CE22" s="837">
        <f t="shared" si="35"/>
        <v>-1.1000000000000001</v>
      </c>
      <c r="CF22" s="941"/>
      <c r="CG22" s="714"/>
      <c r="CH22" s="714"/>
    </row>
    <row r="23" spans="1:89" s="378" customFormat="1" ht="22.5" customHeight="1">
      <c r="A23" s="872" t="s">
        <v>63</v>
      </c>
      <c r="B23" s="872" t="s">
        <v>64</v>
      </c>
      <c r="C23" s="873"/>
      <c r="D23" s="874"/>
      <c r="E23" s="874"/>
      <c r="F23" s="874"/>
      <c r="G23" s="875"/>
      <c r="H23" s="873"/>
      <c r="I23" s="876"/>
      <c r="J23" s="876"/>
      <c r="K23" s="874"/>
      <c r="L23" s="875"/>
      <c r="M23" s="873"/>
      <c r="N23" s="876"/>
      <c r="O23" s="876"/>
      <c r="P23" s="874"/>
      <c r="Q23" s="875"/>
      <c r="R23" s="873"/>
      <c r="S23" s="876"/>
      <c r="T23" s="877"/>
      <c r="U23" s="877"/>
      <c r="V23" s="875"/>
      <c r="W23" s="873"/>
      <c r="X23" s="876"/>
      <c r="Y23" s="874"/>
      <c r="Z23" s="877"/>
      <c r="AA23" s="875"/>
      <c r="AB23" s="873"/>
      <c r="AC23" s="876"/>
      <c r="AD23" s="876"/>
      <c r="AE23" s="877"/>
      <c r="AF23" s="875"/>
      <c r="AG23" s="873"/>
      <c r="AH23" s="877"/>
      <c r="AI23" s="876"/>
      <c r="AJ23" s="874"/>
      <c r="AK23" s="875"/>
      <c r="AL23" s="846"/>
      <c r="AM23" s="876"/>
      <c r="AN23" s="877"/>
      <c r="AO23" s="876"/>
      <c r="AP23" s="874"/>
      <c r="AQ23" s="875"/>
      <c r="AR23" s="873"/>
      <c r="AS23" s="876"/>
      <c r="AT23" s="876"/>
      <c r="AU23" s="876"/>
      <c r="AV23" s="875"/>
      <c r="AW23" s="873"/>
      <c r="AX23" s="876"/>
      <c r="AY23" s="876"/>
      <c r="AZ23" s="876"/>
      <c r="BA23" s="875"/>
      <c r="BB23" s="873"/>
      <c r="BC23" s="877"/>
      <c r="BD23" s="877"/>
      <c r="BE23" s="876"/>
      <c r="BF23" s="875"/>
      <c r="BG23" s="873"/>
      <c r="BH23" s="877"/>
      <c r="BI23" s="876">
        <v>3690.8</v>
      </c>
      <c r="BJ23" s="659">
        <v>-10.199999999999999</v>
      </c>
      <c r="BK23" s="875">
        <f t="shared" si="25"/>
        <v>3680.6000000000004</v>
      </c>
      <c r="BL23" s="873">
        <v>0</v>
      </c>
      <c r="BM23" s="873">
        <v>0</v>
      </c>
      <c r="BN23" s="873">
        <v>113.4</v>
      </c>
      <c r="BO23" s="877">
        <f>153.2-BN23</f>
        <v>39.799999999999983</v>
      </c>
      <c r="BP23" s="875">
        <f t="shared" si="26"/>
        <v>153.19999999999999</v>
      </c>
      <c r="BQ23" s="884">
        <v>0</v>
      </c>
      <c r="BR23" s="873">
        <v>0</v>
      </c>
      <c r="BS23" s="873">
        <v>220.1</v>
      </c>
      <c r="BT23" s="873">
        <v>-0.4</v>
      </c>
      <c r="BU23" s="875">
        <f>SUM(BQ23:BT23)</f>
        <v>219.7</v>
      </c>
      <c r="BV23" s="884">
        <v>10</v>
      </c>
      <c r="BW23" s="873">
        <v>0</v>
      </c>
      <c r="BX23" s="873">
        <v>0</v>
      </c>
      <c r="BY23" s="873">
        <v>0</v>
      </c>
      <c r="BZ23" s="875">
        <f>SUM(BV23:BY23)</f>
        <v>10</v>
      </c>
      <c r="CA23" s="884">
        <v>-0.2</v>
      </c>
      <c r="CB23" s="873"/>
      <c r="CC23" s="873"/>
      <c r="CD23" s="873"/>
      <c r="CE23" s="875">
        <f>SUM(CA23:CD23)</f>
        <v>-0.2</v>
      </c>
      <c r="CF23" s="941"/>
      <c r="CG23" s="714"/>
      <c r="CH23" s="714"/>
    </row>
    <row r="24" spans="1:89" s="378" customFormat="1" ht="22.5" customHeight="1">
      <c r="A24" s="858" t="s">
        <v>65</v>
      </c>
      <c r="B24" s="858" t="s">
        <v>66</v>
      </c>
      <c r="C24" s="878">
        <v>-1.7</v>
      </c>
      <c r="D24" s="870">
        <v>-1.1000000000000001</v>
      </c>
      <c r="E24" s="870">
        <v>-2</v>
      </c>
      <c r="F24" s="870">
        <v>-12.7</v>
      </c>
      <c r="G24" s="834">
        <f t="shared" si="30"/>
        <v>-17.5</v>
      </c>
      <c r="H24" s="878">
        <v>0.5</v>
      </c>
      <c r="I24" s="831">
        <v>1.5</v>
      </c>
      <c r="J24" s="831">
        <v>36.799999999999997</v>
      </c>
      <c r="K24" s="870">
        <v>-2</v>
      </c>
      <c r="L24" s="834">
        <f t="shared" si="31"/>
        <v>36.799999999999997</v>
      </c>
      <c r="M24" s="878">
        <v>3.6</v>
      </c>
      <c r="N24" s="831">
        <v>3.5</v>
      </c>
      <c r="O24" s="831">
        <v>4.7</v>
      </c>
      <c r="P24" s="870">
        <v>-2.2000000000000002</v>
      </c>
      <c r="Q24" s="834">
        <f t="shared" si="32"/>
        <v>9.6000000000000014</v>
      </c>
      <c r="R24" s="878">
        <v>8.6999999999999993</v>
      </c>
      <c r="S24" s="831">
        <v>13.8</v>
      </c>
      <c r="T24" s="878">
        <v>14.4</v>
      </c>
      <c r="U24" s="878">
        <v>-6.2</v>
      </c>
      <c r="V24" s="834">
        <v>30.7</v>
      </c>
      <c r="W24" s="878">
        <v>6.8</v>
      </c>
      <c r="X24" s="831">
        <v>6.6</v>
      </c>
      <c r="Y24" s="870">
        <v>0</v>
      </c>
      <c r="Z24" s="878">
        <v>-4.5999999999999996</v>
      </c>
      <c r="AA24" s="834">
        <f t="shared" si="7"/>
        <v>8.7999999999999989</v>
      </c>
      <c r="AB24" s="878">
        <v>6.8</v>
      </c>
      <c r="AC24" s="831">
        <v>9.9</v>
      </c>
      <c r="AD24" s="831">
        <v>6.7</v>
      </c>
      <c r="AE24" s="878">
        <v>-2.1</v>
      </c>
      <c r="AF24" s="834">
        <f t="shared" si="8"/>
        <v>21.299999999999997</v>
      </c>
      <c r="AG24" s="878">
        <v>6.7</v>
      </c>
      <c r="AH24" s="878">
        <v>-1.9</v>
      </c>
      <c r="AI24" s="831">
        <v>4.5999999999999996</v>
      </c>
      <c r="AJ24" s="870">
        <v>0</v>
      </c>
      <c r="AK24" s="834">
        <f t="shared" si="20"/>
        <v>9.4</v>
      </c>
      <c r="AL24" s="846"/>
      <c r="AM24" s="831">
        <v>6.7</v>
      </c>
      <c r="AN24" s="878">
        <v>-0.6</v>
      </c>
      <c r="AO24" s="831">
        <v>7.3</v>
      </c>
      <c r="AP24" s="870">
        <v>6.2999999999999989</v>
      </c>
      <c r="AQ24" s="834">
        <f t="shared" si="21"/>
        <v>19.7</v>
      </c>
      <c r="AR24" s="878">
        <v>16.600000000000001</v>
      </c>
      <c r="AS24" s="831">
        <v>6.7</v>
      </c>
      <c r="AT24" s="831">
        <v>3.4</v>
      </c>
      <c r="AU24" s="831">
        <v>19</v>
      </c>
      <c r="AV24" s="834">
        <f t="shared" si="22"/>
        <v>45.7</v>
      </c>
      <c r="AW24" s="878">
        <v>16.600000000000001</v>
      </c>
      <c r="AX24" s="831">
        <v>6.7</v>
      </c>
      <c r="AY24" s="831">
        <v>3.4</v>
      </c>
      <c r="AZ24" s="831">
        <v>19</v>
      </c>
      <c r="BA24" s="834">
        <f t="shared" si="23"/>
        <v>45.7</v>
      </c>
      <c r="BB24" s="878">
        <v>5.8</v>
      </c>
      <c r="BC24" s="878">
        <v>-13</v>
      </c>
      <c r="BD24" s="878">
        <v>-2.8</v>
      </c>
      <c r="BE24" s="831">
        <v>7.1</v>
      </c>
      <c r="BF24" s="834">
        <f t="shared" si="24"/>
        <v>-2.9000000000000004</v>
      </c>
      <c r="BG24" s="878">
        <v>5</v>
      </c>
      <c r="BH24" s="878">
        <v>-7.9</v>
      </c>
      <c r="BI24" s="831">
        <v>4.5999999999999996</v>
      </c>
      <c r="BJ24" s="878">
        <v>-24.4</v>
      </c>
      <c r="BK24" s="834">
        <f>SUM(BG24:BJ24)</f>
        <v>-22.7</v>
      </c>
      <c r="BL24" s="878">
        <v>-32.700000000000003</v>
      </c>
      <c r="BM24" s="878">
        <v>13.1</v>
      </c>
      <c r="BN24" s="878">
        <v>-6.1</v>
      </c>
      <c r="BO24" s="878">
        <f>-26.5-BN24-BM24-BL24</f>
        <v>-0.79999999999999716</v>
      </c>
      <c r="BP24" s="834">
        <f>SUM(BL24:BO24)</f>
        <v>-26.5</v>
      </c>
      <c r="BQ24" s="711">
        <v>-8.6999999999999993</v>
      </c>
      <c r="BR24" s="878">
        <v>-15</v>
      </c>
      <c r="BS24" s="878">
        <v>0.3</v>
      </c>
      <c r="BT24" s="830">
        <v>-22.2</v>
      </c>
      <c r="BU24" s="834">
        <f>SUM(BQ24:BT24)</f>
        <v>-45.599999999999994</v>
      </c>
      <c r="BV24" s="711">
        <v>154</v>
      </c>
      <c r="BW24" s="878">
        <v>27.5</v>
      </c>
      <c r="BX24" s="878">
        <v>-22.2</v>
      </c>
      <c r="BY24" s="830">
        <v>-39.700000000000003</v>
      </c>
      <c r="BZ24" s="834">
        <f>SUM(BV24:BY24)</f>
        <v>119.60000000000001</v>
      </c>
      <c r="CA24" s="711">
        <v>-13.8</v>
      </c>
      <c r="CB24" s="878"/>
      <c r="CC24" s="878"/>
      <c r="CD24" s="830"/>
      <c r="CE24" s="834">
        <f>SUM(CA24:CD24)</f>
        <v>-13.8</v>
      </c>
      <c r="CF24" s="941"/>
      <c r="CG24" s="714"/>
      <c r="CH24" s="714"/>
      <c r="CI24" s="770"/>
      <c r="CJ24" s="770"/>
      <c r="CK24" s="770"/>
    </row>
    <row r="25" spans="1:89" s="378" customFormat="1" ht="22.5" customHeight="1">
      <c r="A25" s="879" t="s">
        <v>67</v>
      </c>
      <c r="B25" s="879" t="s">
        <v>68</v>
      </c>
      <c r="C25" s="880">
        <f t="shared" ref="C25:AK25" si="36">C5+C11+C24</f>
        <v>203.00000000000006</v>
      </c>
      <c r="D25" s="880">
        <f t="shared" si="36"/>
        <v>212.99999999999997</v>
      </c>
      <c r="E25" s="880">
        <f t="shared" si="36"/>
        <v>197.60000000000002</v>
      </c>
      <c r="F25" s="880">
        <f t="shared" si="36"/>
        <v>175.50000000000017</v>
      </c>
      <c r="G25" s="881">
        <f t="shared" si="36"/>
        <v>789.09999999999923</v>
      </c>
      <c r="H25" s="880">
        <f t="shared" si="36"/>
        <v>184.67999999999995</v>
      </c>
      <c r="I25" s="880">
        <f t="shared" si="36"/>
        <v>195</v>
      </c>
      <c r="J25" s="880">
        <f t="shared" si="36"/>
        <v>203.39999999999998</v>
      </c>
      <c r="K25" s="880">
        <f t="shared" si="36"/>
        <v>206.79999999999995</v>
      </c>
      <c r="L25" s="881">
        <f t="shared" si="36"/>
        <v>789.88000000000034</v>
      </c>
      <c r="M25" s="880">
        <f t="shared" si="36"/>
        <v>219.4999999999998</v>
      </c>
      <c r="N25" s="880">
        <f t="shared" si="36"/>
        <v>397.59999999999991</v>
      </c>
      <c r="O25" s="880">
        <f t="shared" si="36"/>
        <v>431.79999999999967</v>
      </c>
      <c r="P25" s="880">
        <f t="shared" si="36"/>
        <v>393.50000000000074</v>
      </c>
      <c r="Q25" s="881">
        <f t="shared" si="36"/>
        <v>1442.3999999999992</v>
      </c>
      <c r="R25" s="880">
        <f t="shared" si="36"/>
        <v>428.7</v>
      </c>
      <c r="S25" s="880">
        <f t="shared" si="36"/>
        <v>583.5</v>
      </c>
      <c r="T25" s="880">
        <f t="shared" si="36"/>
        <v>529.1999999999997</v>
      </c>
      <c r="U25" s="880">
        <f t="shared" si="36"/>
        <v>444.40000000000038</v>
      </c>
      <c r="V25" s="881">
        <f t="shared" si="36"/>
        <v>1985.7999999999995</v>
      </c>
      <c r="W25" s="880">
        <f t="shared" si="36"/>
        <v>422.8</v>
      </c>
      <c r="X25" s="880">
        <f t="shared" si="36"/>
        <v>407.50000000000011</v>
      </c>
      <c r="Y25" s="882">
        <f t="shared" si="36"/>
        <v>449.10000000000036</v>
      </c>
      <c r="Z25" s="882">
        <f t="shared" si="36"/>
        <v>389.9</v>
      </c>
      <c r="AA25" s="881">
        <f t="shared" si="36"/>
        <v>1669.3</v>
      </c>
      <c r="AB25" s="880">
        <f t="shared" si="36"/>
        <v>457.20000000000033</v>
      </c>
      <c r="AC25" s="880">
        <f t="shared" si="36"/>
        <v>516.99999999999989</v>
      </c>
      <c r="AD25" s="880">
        <f t="shared" si="36"/>
        <v>421.90000000000003</v>
      </c>
      <c r="AE25" s="880">
        <f t="shared" si="36"/>
        <v>437.9</v>
      </c>
      <c r="AF25" s="881">
        <f t="shared" si="36"/>
        <v>1834.0000000000007</v>
      </c>
      <c r="AG25" s="880">
        <f t="shared" si="36"/>
        <v>464.29999999999967</v>
      </c>
      <c r="AH25" s="880">
        <f t="shared" si="36"/>
        <v>488.49999999999989</v>
      </c>
      <c r="AI25" s="880">
        <f t="shared" si="36"/>
        <v>396.00000000000011</v>
      </c>
      <c r="AJ25" s="883">
        <f t="shared" si="36"/>
        <v>416</v>
      </c>
      <c r="AK25" s="881">
        <f t="shared" si="36"/>
        <v>1764.7999999999997</v>
      </c>
      <c r="AL25" s="846"/>
      <c r="AM25" s="880">
        <f t="shared" ref="AM25:BH25" si="37">AM5+AM11+AM24</f>
        <v>435.49999999999994</v>
      </c>
      <c r="AN25" s="880">
        <f t="shared" si="37"/>
        <v>475.5999999999998</v>
      </c>
      <c r="AO25" s="880">
        <f t="shared" si="37"/>
        <v>396.49999999999983</v>
      </c>
      <c r="AP25" s="883">
        <f t="shared" si="37"/>
        <v>419.39999999999992</v>
      </c>
      <c r="AQ25" s="881">
        <f t="shared" si="37"/>
        <v>1727.000000000003</v>
      </c>
      <c r="AR25" s="880">
        <f t="shared" si="37"/>
        <v>481.9000000000002</v>
      </c>
      <c r="AS25" s="880">
        <f t="shared" si="37"/>
        <v>515.29999999999995</v>
      </c>
      <c r="AT25" s="880">
        <f t="shared" si="37"/>
        <v>452.6999999999997</v>
      </c>
      <c r="AU25" s="880">
        <f t="shared" si="37"/>
        <v>485.00000000000091</v>
      </c>
      <c r="AV25" s="881">
        <f t="shared" si="37"/>
        <v>1934.9000000000026</v>
      </c>
      <c r="AW25" s="880">
        <f t="shared" si="37"/>
        <v>491.19999999999948</v>
      </c>
      <c r="AX25" s="880">
        <f t="shared" si="37"/>
        <v>522.49999999999977</v>
      </c>
      <c r="AY25" s="880">
        <f t="shared" si="37"/>
        <v>458.99999999999989</v>
      </c>
      <c r="AZ25" s="880">
        <f t="shared" si="37"/>
        <v>494.30000000000018</v>
      </c>
      <c r="BA25" s="881">
        <f t="shared" si="37"/>
        <v>1967.0000000000011</v>
      </c>
      <c r="BB25" s="880">
        <f t="shared" si="37"/>
        <v>462.18882651999985</v>
      </c>
      <c r="BC25" s="880">
        <f t="shared" si="37"/>
        <v>394.10000000000082</v>
      </c>
      <c r="BD25" s="880">
        <f t="shared" si="37"/>
        <v>505.89999999999981</v>
      </c>
      <c r="BE25" s="880">
        <f t="shared" si="37"/>
        <v>524.00000000000011</v>
      </c>
      <c r="BF25" s="881">
        <f t="shared" si="37"/>
        <v>1886.1888265199991</v>
      </c>
      <c r="BG25" s="880">
        <f t="shared" si="37"/>
        <v>561.5</v>
      </c>
      <c r="BH25" s="880">
        <f t="shared" si="37"/>
        <v>683.69999999999993</v>
      </c>
      <c r="BI25" s="880">
        <f>BI5+BI11+BI24+BI23</f>
        <v>4131.4000000000005</v>
      </c>
      <c r="BJ25" s="880">
        <f>BJ5+BJ11+BJ24+BJ23</f>
        <v>419.79999999999967</v>
      </c>
      <c r="BK25" s="881">
        <f>BK5+BK11+BK24+BK23</f>
        <v>5796.3999999999987</v>
      </c>
      <c r="BL25" s="880">
        <f>BL5+BL11+BL24</f>
        <v>320.3</v>
      </c>
      <c r="BM25" s="880">
        <f>BM5+BM11+BM24</f>
        <v>425.79999999999984</v>
      </c>
      <c r="BN25" s="880">
        <f t="shared" ref="BN25:CE25" si="38">BN5+BN11+BN24+BN23</f>
        <v>500.90000000000077</v>
      </c>
      <c r="BO25" s="880">
        <f t="shared" si="38"/>
        <v>395.19999999999891</v>
      </c>
      <c r="BP25" s="881">
        <f t="shared" si="38"/>
        <v>1642.2</v>
      </c>
      <c r="BQ25" s="885">
        <f t="shared" si="38"/>
        <v>298.70000000000056</v>
      </c>
      <c r="BR25" s="885">
        <f t="shared" si="38"/>
        <v>329.80000000000018</v>
      </c>
      <c r="BS25" s="886">
        <f t="shared" si="38"/>
        <v>510.90000000000043</v>
      </c>
      <c r="BT25" s="886">
        <f t="shared" si="38"/>
        <v>172.20000000000019</v>
      </c>
      <c r="BU25" s="881">
        <f t="shared" si="38"/>
        <v>1311.600000000002</v>
      </c>
      <c r="BV25" s="885">
        <f t="shared" si="38"/>
        <v>452.69862972000101</v>
      </c>
      <c r="BW25" s="885">
        <f t="shared" si="38"/>
        <v>396.00000000000045</v>
      </c>
      <c r="BX25" s="885">
        <f t="shared" si="38"/>
        <v>569.49999999999977</v>
      </c>
      <c r="BY25" s="886">
        <f t="shared" si="38"/>
        <v>347.99999999999983</v>
      </c>
      <c r="BZ25" s="881">
        <f t="shared" si="38"/>
        <v>1766.1986297199996</v>
      </c>
      <c r="CA25" s="885">
        <f t="shared" si="38"/>
        <v>410.30000000000018</v>
      </c>
      <c r="CB25" s="711"/>
      <c r="CC25" s="711"/>
      <c r="CD25" s="886"/>
      <c r="CE25" s="881">
        <f t="shared" si="38"/>
        <v>410.30000000000018</v>
      </c>
      <c r="CF25" s="941"/>
      <c r="CG25" s="714"/>
      <c r="CH25" s="714"/>
      <c r="CI25" s="771"/>
      <c r="CK25" s="771"/>
    </row>
    <row r="26" spans="1:89" ht="20.149999999999999" customHeight="1">
      <c r="A26" s="901" t="s">
        <v>69</v>
      </c>
      <c r="B26" s="902" t="s">
        <v>70</v>
      </c>
      <c r="C26" s="903">
        <v>12.5</v>
      </c>
      <c r="D26" s="903">
        <v>-8.5</v>
      </c>
      <c r="E26" s="903">
        <v>5.3</v>
      </c>
      <c r="F26" s="903">
        <v>5</v>
      </c>
      <c r="G26" s="904">
        <f>SUM(C26:F26)</f>
        <v>14.3</v>
      </c>
      <c r="H26" s="903">
        <v>3.9</v>
      </c>
      <c r="I26" s="903">
        <v>0.7</v>
      </c>
      <c r="J26" s="903">
        <v>7.4</v>
      </c>
      <c r="K26" s="903">
        <v>4.0999999999999996</v>
      </c>
      <c r="L26" s="904">
        <f>SUM(H26:K26)</f>
        <v>16.100000000000001</v>
      </c>
      <c r="M26" s="903">
        <v>1.2000000000000028</v>
      </c>
      <c r="N26" s="903">
        <v>23.9</v>
      </c>
      <c r="O26" s="903">
        <v>1.5</v>
      </c>
      <c r="P26" s="903">
        <v>-11.4</v>
      </c>
      <c r="Q26" s="904">
        <f>SUM(M26:P26)</f>
        <v>15.200000000000001</v>
      </c>
      <c r="R26" s="903">
        <v>28.9</v>
      </c>
      <c r="S26" s="903">
        <v>-11.9</v>
      </c>
      <c r="T26" s="903">
        <v>-5.2</v>
      </c>
      <c r="U26" s="905">
        <v>-3.2</v>
      </c>
      <c r="V26" s="904">
        <v>8.6000000000000014</v>
      </c>
      <c r="W26" s="903">
        <v>-35.200000000000003</v>
      </c>
      <c r="X26" s="903">
        <v>-21.4</v>
      </c>
      <c r="Y26" s="906">
        <v>13.1</v>
      </c>
      <c r="Z26" s="905">
        <v>-26.3</v>
      </c>
      <c r="AA26" s="904">
        <f t="shared" si="7"/>
        <v>-69.8</v>
      </c>
      <c r="AB26" s="903">
        <v>30.5</v>
      </c>
      <c r="AC26" s="903">
        <v>-14.4</v>
      </c>
      <c r="AD26" s="906">
        <v>-28</v>
      </c>
      <c r="AE26" s="906">
        <v>19.100000000000001</v>
      </c>
      <c r="AF26" s="904">
        <f t="shared" si="8"/>
        <v>7.2000000000000028</v>
      </c>
      <c r="AG26" s="903">
        <v>-3.4</v>
      </c>
      <c r="AH26" s="903">
        <v>-34.4</v>
      </c>
      <c r="AI26" s="903">
        <v>12.7</v>
      </c>
      <c r="AJ26" s="906">
        <v>4.7</v>
      </c>
      <c r="AK26" s="904">
        <f t="shared" ref="AK26:AK30" si="39">SUM(AG26:AJ26)</f>
        <v>-20.399999999999999</v>
      </c>
      <c r="AL26" s="907"/>
      <c r="AM26" s="903">
        <v>-3.4</v>
      </c>
      <c r="AN26" s="903">
        <v>-45.9</v>
      </c>
      <c r="AO26" s="903">
        <v>11.7</v>
      </c>
      <c r="AP26" s="906">
        <v>4.6000000000000014</v>
      </c>
      <c r="AQ26" s="904">
        <f t="shared" ref="AQ26:AQ30" si="40">SUM(AM26:AP26)</f>
        <v>-32.999999999999993</v>
      </c>
      <c r="AR26" s="903">
        <v>1.3</v>
      </c>
      <c r="AS26" s="903">
        <v>13.6</v>
      </c>
      <c r="AT26" s="903">
        <v>-34.5</v>
      </c>
      <c r="AU26" s="906">
        <v>39.200000000000003</v>
      </c>
      <c r="AV26" s="904">
        <f t="shared" ref="AV26:AV30" si="41">SUM(AR26:AU26)</f>
        <v>19.600000000000001</v>
      </c>
      <c r="AW26" s="903">
        <v>-12.2</v>
      </c>
      <c r="AX26" s="903">
        <v>4.8</v>
      </c>
      <c r="AY26" s="903">
        <v>-53.8</v>
      </c>
      <c r="AZ26" s="906">
        <v>34.200000000000003</v>
      </c>
      <c r="BA26" s="904">
        <f t="shared" ref="BA26:BA30" si="42">SUM(AW26:AZ26)</f>
        <v>-26.999999999999993</v>
      </c>
      <c r="BB26" s="903">
        <v>-74.2</v>
      </c>
      <c r="BC26" s="903">
        <v>-1.2</v>
      </c>
      <c r="BD26" s="903">
        <v>-26.2</v>
      </c>
      <c r="BE26" s="906">
        <v>-11.5</v>
      </c>
      <c r="BF26" s="904">
        <f>SUM(BB26:BE26)</f>
        <v>-113.10000000000001</v>
      </c>
      <c r="BG26" s="903">
        <v>-22.4</v>
      </c>
      <c r="BH26" s="903">
        <v>7.8</v>
      </c>
      <c r="BI26" s="903">
        <v>-16.5</v>
      </c>
      <c r="BJ26" s="906">
        <v>4.2</v>
      </c>
      <c r="BK26" s="904">
        <f>SUM(BG26:BJ26)</f>
        <v>-26.9</v>
      </c>
      <c r="BL26" s="903">
        <v>6.9</v>
      </c>
      <c r="BM26" s="903">
        <v>5.7</v>
      </c>
      <c r="BN26" s="903">
        <v>-18.100000000000001</v>
      </c>
      <c r="BO26" s="906">
        <f>23.5-BN26-BM26-BL26</f>
        <v>29</v>
      </c>
      <c r="BP26" s="904">
        <f>SUM(BL26:BO26)</f>
        <v>23.5</v>
      </c>
      <c r="BQ26" s="908">
        <v>20.8</v>
      </c>
      <c r="BR26" s="903">
        <v>21</v>
      </c>
      <c r="BS26" s="903">
        <v>39.9</v>
      </c>
      <c r="BT26" s="909">
        <v>80.700000000000017</v>
      </c>
      <c r="BU26" s="910">
        <f>SUM(BQ26:BT26)</f>
        <v>162.4</v>
      </c>
      <c r="BV26" s="908">
        <v>19.2</v>
      </c>
      <c r="BW26" s="903">
        <v>84.2</v>
      </c>
      <c r="BX26" s="903">
        <v>81.8</v>
      </c>
      <c r="BY26" s="916" t="s">
        <v>782</v>
      </c>
      <c r="BZ26" s="917" t="s">
        <v>782</v>
      </c>
      <c r="CA26" s="940" t="s">
        <v>782</v>
      </c>
      <c r="CB26" s="940"/>
      <c r="CC26" s="940"/>
      <c r="CD26" s="916"/>
      <c r="CE26" s="917" t="s">
        <v>782</v>
      </c>
      <c r="CF26" s="941"/>
      <c r="CG26" s="714"/>
      <c r="CH26" s="714"/>
      <c r="CI26" s="771"/>
      <c r="CK26" s="771"/>
    </row>
    <row r="27" spans="1:89" s="94" customFormat="1" ht="20.149999999999999" customHeight="1">
      <c r="A27" s="911" t="s">
        <v>71</v>
      </c>
      <c r="B27" s="912" t="s">
        <v>72</v>
      </c>
      <c r="C27" s="903">
        <v>30.1</v>
      </c>
      <c r="D27" s="913">
        <v>-92.4</v>
      </c>
      <c r="E27" s="913">
        <v>-5.2</v>
      </c>
      <c r="F27" s="913">
        <v>-43.1</v>
      </c>
      <c r="G27" s="904">
        <f t="shared" ref="G27" si="43">SUM(C27:F27)</f>
        <v>-110.6</v>
      </c>
      <c r="H27" s="903">
        <v>-80.099999999999994</v>
      </c>
      <c r="I27" s="913">
        <v>-102.4</v>
      </c>
      <c r="J27" s="913">
        <v>-10.7</v>
      </c>
      <c r="K27" s="913">
        <v>-22.8</v>
      </c>
      <c r="L27" s="904">
        <f t="shared" ref="L27" si="44">SUM(H27:K27)</f>
        <v>-216</v>
      </c>
      <c r="M27" s="903">
        <v>-108.70000000000005</v>
      </c>
      <c r="N27" s="913">
        <v>-273.39999999999998</v>
      </c>
      <c r="O27" s="913">
        <v>-384.7</v>
      </c>
      <c r="P27" s="913">
        <v>-379.2</v>
      </c>
      <c r="Q27" s="904">
        <f t="shared" ref="Q27" si="45">SUM(M27:P27)</f>
        <v>-1146</v>
      </c>
      <c r="R27" s="903">
        <v>-261.3</v>
      </c>
      <c r="S27" s="913">
        <v>-222.1</v>
      </c>
      <c r="T27" s="913">
        <v>88.8</v>
      </c>
      <c r="U27" s="905">
        <v>-270</v>
      </c>
      <c r="V27" s="904">
        <v>-664.59999999999991</v>
      </c>
      <c r="W27" s="903">
        <v>-182.7</v>
      </c>
      <c r="X27" s="913">
        <v>-133.19999999999999</v>
      </c>
      <c r="Y27" s="914">
        <v>-127.3</v>
      </c>
      <c r="Z27" s="905">
        <v>-122.9</v>
      </c>
      <c r="AA27" s="904">
        <f t="shared" si="7"/>
        <v>-566.1</v>
      </c>
      <c r="AB27" s="903">
        <v>-185.5</v>
      </c>
      <c r="AC27" s="913">
        <v>-113.3</v>
      </c>
      <c r="AD27" s="914">
        <v>-104.8</v>
      </c>
      <c r="AE27" s="914">
        <v>-105.4</v>
      </c>
      <c r="AF27" s="904">
        <f t="shared" si="8"/>
        <v>-509</v>
      </c>
      <c r="AG27" s="903">
        <v>-72.599999999999994</v>
      </c>
      <c r="AH27" s="913">
        <v>-98.8</v>
      </c>
      <c r="AI27" s="913">
        <v>-100.9</v>
      </c>
      <c r="AJ27" s="914">
        <v>-113.3</v>
      </c>
      <c r="AK27" s="904">
        <f t="shared" si="39"/>
        <v>-385.59999999999997</v>
      </c>
      <c r="AL27" s="915"/>
      <c r="AM27" s="913">
        <v>-72.599999999999994</v>
      </c>
      <c r="AN27" s="913">
        <v>-98.9</v>
      </c>
      <c r="AO27" s="913">
        <v>-101.6</v>
      </c>
      <c r="AP27" s="914">
        <v>-113.59999999999997</v>
      </c>
      <c r="AQ27" s="904">
        <f t="shared" si="40"/>
        <v>-386.7</v>
      </c>
      <c r="AR27" s="903">
        <v>-102.7</v>
      </c>
      <c r="AS27" s="913">
        <v>-170</v>
      </c>
      <c r="AT27" s="913">
        <v>-97.9</v>
      </c>
      <c r="AU27" s="914">
        <v>-95.3</v>
      </c>
      <c r="AV27" s="904">
        <f t="shared" si="41"/>
        <v>-465.90000000000003</v>
      </c>
      <c r="AW27" s="903">
        <v>-102.7</v>
      </c>
      <c r="AX27" s="913">
        <v>-170</v>
      </c>
      <c r="AY27" s="913">
        <v>-97.9</v>
      </c>
      <c r="AZ27" s="914">
        <v>-95.3</v>
      </c>
      <c r="BA27" s="904">
        <f t="shared" si="42"/>
        <v>-465.90000000000003</v>
      </c>
      <c r="BB27" s="903">
        <v>-153.80000000000001</v>
      </c>
      <c r="BC27" s="913">
        <v>-47.7</v>
      </c>
      <c r="BD27" s="913">
        <v>-66.599999999999994</v>
      </c>
      <c r="BE27" s="914">
        <v>-64.900000000000006</v>
      </c>
      <c r="BF27" s="904">
        <f t="shared" ref="BF27:BF30" si="46">SUM(BB27:BE27)</f>
        <v>-333</v>
      </c>
      <c r="BG27" s="903">
        <v>-57.1</v>
      </c>
      <c r="BH27" s="903">
        <v>-60.5</v>
      </c>
      <c r="BI27" s="913">
        <v>-54.7</v>
      </c>
      <c r="BJ27" s="914">
        <v>-6.5</v>
      </c>
      <c r="BK27" s="904">
        <f t="shared" ref="BK27:BK30" si="47">SUM(BG27:BJ27)</f>
        <v>-178.8</v>
      </c>
      <c r="BL27" s="903">
        <v>-76.8</v>
      </c>
      <c r="BM27" s="903">
        <v>-130.69999999999999</v>
      </c>
      <c r="BN27" s="913">
        <v>-209.3</v>
      </c>
      <c r="BO27" s="914">
        <f>-649.9-BN27-BM27-BL27</f>
        <v>-233.09999999999997</v>
      </c>
      <c r="BP27" s="904">
        <f t="shared" ref="BP27:BP31" si="48">SUM(BL27:BO27)</f>
        <v>-649.9</v>
      </c>
      <c r="BQ27" s="908">
        <v>-255.7</v>
      </c>
      <c r="BR27" s="903">
        <v>-300.7</v>
      </c>
      <c r="BS27" s="913">
        <v>-399</v>
      </c>
      <c r="BT27" s="909">
        <v>-126.5</v>
      </c>
      <c r="BU27" s="910">
        <f>SUM(BQ27:BT27)</f>
        <v>-1081.9000000000001</v>
      </c>
      <c r="BV27" s="908">
        <v>-201.3</v>
      </c>
      <c r="BW27" s="903">
        <v>-267.10000000000002</v>
      </c>
      <c r="BX27" s="913">
        <v>-278.60000000000002</v>
      </c>
      <c r="BY27" s="918" t="s">
        <v>782</v>
      </c>
      <c r="BZ27" s="919" t="s">
        <v>782</v>
      </c>
      <c r="CA27" s="940" t="s">
        <v>782</v>
      </c>
      <c r="CB27" s="940"/>
      <c r="CC27" s="940"/>
      <c r="CD27" s="918"/>
      <c r="CE27" s="919" t="s">
        <v>782</v>
      </c>
      <c r="CF27" s="941"/>
      <c r="CG27" s="714"/>
      <c r="CH27" s="714"/>
      <c r="CI27" s="771"/>
      <c r="CK27" s="771"/>
    </row>
    <row r="28" spans="1:89" s="94" customFormat="1" ht="20.149999999999999" customHeight="1">
      <c r="A28" s="920" t="s">
        <v>786</v>
      </c>
      <c r="B28" s="921" t="s">
        <v>787</v>
      </c>
      <c r="C28" s="52"/>
      <c r="D28" s="92"/>
      <c r="E28" s="92"/>
      <c r="F28" s="92"/>
      <c r="G28" s="922"/>
      <c r="H28" s="52"/>
      <c r="I28" s="92"/>
      <c r="J28" s="92"/>
      <c r="K28" s="92"/>
      <c r="L28" s="922"/>
      <c r="M28" s="52"/>
      <c r="N28" s="92"/>
      <c r="O28" s="92"/>
      <c r="P28" s="92"/>
      <c r="Q28" s="922"/>
      <c r="R28" s="52"/>
      <c r="S28" s="92"/>
      <c r="T28" s="92"/>
      <c r="U28" s="50"/>
      <c r="V28" s="922"/>
      <c r="W28" s="52"/>
      <c r="X28" s="92"/>
      <c r="Y28" s="923"/>
      <c r="Z28" s="50"/>
      <c r="AA28" s="922"/>
      <c r="AB28" s="52"/>
      <c r="AC28" s="92"/>
      <c r="AD28" s="923"/>
      <c r="AE28" s="923"/>
      <c r="AF28" s="922"/>
      <c r="AG28" s="52"/>
      <c r="AH28" s="92"/>
      <c r="AI28" s="92"/>
      <c r="AJ28" s="923"/>
      <c r="AK28" s="922"/>
      <c r="AL28" s="924"/>
      <c r="AM28" s="92"/>
      <c r="AN28" s="92"/>
      <c r="AO28" s="92"/>
      <c r="AP28" s="923"/>
      <c r="AQ28" s="922"/>
      <c r="AR28" s="52"/>
      <c r="AS28" s="92"/>
      <c r="AT28" s="92"/>
      <c r="AU28" s="923"/>
      <c r="AV28" s="922"/>
      <c r="AW28" s="52"/>
      <c r="AX28" s="92"/>
      <c r="AY28" s="92"/>
      <c r="AZ28" s="923"/>
      <c r="BA28" s="836"/>
      <c r="BB28" s="52"/>
      <c r="BC28" s="92"/>
      <c r="BD28" s="92"/>
      <c r="BE28" s="923"/>
      <c r="BF28" s="836"/>
      <c r="BG28" s="52"/>
      <c r="BH28" s="52"/>
      <c r="BI28" s="92"/>
      <c r="BJ28" s="923"/>
      <c r="BK28" s="836"/>
      <c r="BL28" s="52"/>
      <c r="BM28" s="52"/>
      <c r="BN28" s="92"/>
      <c r="BO28" s="923"/>
      <c r="BP28" s="836"/>
      <c r="BQ28" s="925">
        <v>56.4</v>
      </c>
      <c r="BR28" s="52">
        <v>89.8</v>
      </c>
      <c r="BS28" s="92">
        <v>81.2</v>
      </c>
      <c r="BT28" s="92">
        <v>368.8</v>
      </c>
      <c r="BU28" s="836">
        <v>452.7</v>
      </c>
      <c r="BV28" s="925">
        <v>99.3</v>
      </c>
      <c r="BW28" s="52">
        <v>95.8</v>
      </c>
      <c r="BX28" s="92">
        <v>117.5</v>
      </c>
      <c r="BY28" s="92">
        <v>122.2</v>
      </c>
      <c r="BZ28" s="836">
        <v>426.2</v>
      </c>
      <c r="CA28" s="925">
        <v>74.099999999999994</v>
      </c>
      <c r="CB28" s="52"/>
      <c r="CC28" s="92"/>
      <c r="CD28" s="92"/>
      <c r="CE28" s="836">
        <v>74.099999999999994</v>
      </c>
      <c r="CF28" s="941"/>
      <c r="CG28" s="714"/>
      <c r="CH28" s="926"/>
      <c r="CI28" s="771"/>
      <c r="CK28" s="771"/>
    </row>
    <row r="29" spans="1:89" s="94" customFormat="1" ht="20.149999999999999" customHeight="1">
      <c r="A29" s="920" t="s">
        <v>785</v>
      </c>
      <c r="B29" s="921" t="s">
        <v>788</v>
      </c>
      <c r="C29" s="52"/>
      <c r="D29" s="92"/>
      <c r="E29" s="92"/>
      <c r="F29" s="92"/>
      <c r="G29" s="922"/>
      <c r="H29" s="52"/>
      <c r="I29" s="92"/>
      <c r="J29" s="92"/>
      <c r="K29" s="92"/>
      <c r="L29" s="922"/>
      <c r="M29" s="52"/>
      <c r="N29" s="92"/>
      <c r="O29" s="92"/>
      <c r="P29" s="92"/>
      <c r="Q29" s="922"/>
      <c r="R29" s="52"/>
      <c r="S29" s="92"/>
      <c r="T29" s="92"/>
      <c r="U29" s="50"/>
      <c r="V29" s="922"/>
      <c r="W29" s="52"/>
      <c r="X29" s="92"/>
      <c r="Y29" s="923"/>
      <c r="Z29" s="50"/>
      <c r="AA29" s="922"/>
      <c r="AB29" s="52"/>
      <c r="AC29" s="92"/>
      <c r="AD29" s="923"/>
      <c r="AE29" s="923"/>
      <c r="AF29" s="922"/>
      <c r="AG29" s="52"/>
      <c r="AH29" s="92"/>
      <c r="AI29" s="92"/>
      <c r="AJ29" s="923"/>
      <c r="AK29" s="922"/>
      <c r="AL29" s="924"/>
      <c r="AM29" s="92"/>
      <c r="AN29" s="92"/>
      <c r="AO29" s="92"/>
      <c r="AP29" s="923"/>
      <c r="AQ29" s="922"/>
      <c r="AR29" s="52"/>
      <c r="AS29" s="92"/>
      <c r="AT29" s="92"/>
      <c r="AU29" s="923"/>
      <c r="AV29" s="922"/>
      <c r="AW29" s="52"/>
      <c r="AX29" s="92"/>
      <c r="AY29" s="92"/>
      <c r="AZ29" s="923"/>
      <c r="BA29" s="836"/>
      <c r="BB29" s="52"/>
      <c r="BC29" s="92"/>
      <c r="BD29" s="92"/>
      <c r="BE29" s="923"/>
      <c r="BF29" s="836"/>
      <c r="BG29" s="52"/>
      <c r="BH29" s="52"/>
      <c r="BI29" s="92"/>
      <c r="BJ29" s="923"/>
      <c r="BK29" s="836"/>
      <c r="BL29" s="52"/>
      <c r="BM29" s="52"/>
      <c r="BN29" s="92"/>
      <c r="BO29" s="923"/>
      <c r="BP29" s="836"/>
      <c r="BQ29" s="925">
        <v>-291.3</v>
      </c>
      <c r="BR29" s="52">
        <v>-369.5</v>
      </c>
      <c r="BS29" s="92">
        <v>-440.3</v>
      </c>
      <c r="BT29" s="92">
        <v>-414.6</v>
      </c>
      <c r="BU29" s="836">
        <v>-1372.2</v>
      </c>
      <c r="BV29" s="925">
        <v>-281.39999999999998</v>
      </c>
      <c r="BW29" s="52">
        <v>-278.7</v>
      </c>
      <c r="BX29" s="92">
        <v>-314.3</v>
      </c>
      <c r="BY29" s="92">
        <v>-246.4</v>
      </c>
      <c r="BZ29" s="836">
        <v>-1112.2</v>
      </c>
      <c r="CA29" s="925">
        <v>-361.9</v>
      </c>
      <c r="CB29" s="52"/>
      <c r="CC29" s="92"/>
      <c r="CD29" s="92"/>
      <c r="CE29" s="836">
        <v>-361.9</v>
      </c>
      <c r="CF29" s="941"/>
      <c r="CG29" s="714"/>
      <c r="CH29" s="926"/>
      <c r="CI29" s="771"/>
      <c r="CK29" s="771"/>
    </row>
    <row r="30" spans="1:89" ht="30" customHeight="1">
      <c r="A30" s="868" t="s">
        <v>73</v>
      </c>
      <c r="B30" s="865" t="s">
        <v>74</v>
      </c>
      <c r="C30" s="46">
        <v>0.7</v>
      </c>
      <c r="D30" s="52">
        <v>0.8</v>
      </c>
      <c r="E30" s="52">
        <v>0.5</v>
      </c>
      <c r="F30" s="52">
        <v>0.8</v>
      </c>
      <c r="G30" s="836">
        <f t="shared" ref="G30" si="49">SUM(C30:F30)</f>
        <v>2.8</v>
      </c>
      <c r="H30" s="46">
        <v>0.8</v>
      </c>
      <c r="I30" s="52">
        <v>0.8</v>
      </c>
      <c r="J30" s="52">
        <v>0.7</v>
      </c>
      <c r="K30" s="52">
        <v>0.6</v>
      </c>
      <c r="L30" s="836">
        <f t="shared" ref="L30" si="50">SUM(H30:K30)</f>
        <v>2.9</v>
      </c>
      <c r="M30" s="46">
        <v>0.60000000000000009</v>
      </c>
      <c r="N30" s="52">
        <v>0.7</v>
      </c>
      <c r="O30" s="52">
        <v>0.7</v>
      </c>
      <c r="P30" s="52">
        <v>0.6</v>
      </c>
      <c r="Q30" s="836">
        <f t="shared" ref="Q30" si="51">SUM(M30:P30)</f>
        <v>2.6</v>
      </c>
      <c r="R30" s="46">
        <v>0.5</v>
      </c>
      <c r="S30" s="52">
        <v>0.9</v>
      </c>
      <c r="T30" s="52">
        <v>0.5</v>
      </c>
      <c r="U30" s="50">
        <v>0.70000000000000018</v>
      </c>
      <c r="V30" s="836">
        <v>2.6</v>
      </c>
      <c r="W30" s="46">
        <v>0.8</v>
      </c>
      <c r="X30" s="53">
        <v>-0.8</v>
      </c>
      <c r="Y30" s="46">
        <v>0</v>
      </c>
      <c r="Z30" s="46">
        <v>0</v>
      </c>
      <c r="AA30" s="836">
        <f t="shared" ref="AA30" si="52">SUM(W30:Z30)</f>
        <v>0</v>
      </c>
      <c r="AB30" s="46">
        <v>0</v>
      </c>
      <c r="AC30" s="46">
        <v>0</v>
      </c>
      <c r="AD30" s="46">
        <v>0</v>
      </c>
      <c r="AE30" s="46">
        <v>0</v>
      </c>
      <c r="AF30" s="836">
        <f t="shared" ref="AF30:AF31" si="53">SUM(AB30:AE30)</f>
        <v>0</v>
      </c>
      <c r="AG30" s="46">
        <v>0</v>
      </c>
      <c r="AH30" s="46">
        <v>0</v>
      </c>
      <c r="AI30" s="46">
        <v>0</v>
      </c>
      <c r="AJ30" s="46">
        <v>0</v>
      </c>
      <c r="AK30" s="836">
        <f t="shared" si="39"/>
        <v>0</v>
      </c>
      <c r="AL30" s="852"/>
      <c r="AM30" s="46">
        <v>0</v>
      </c>
      <c r="AN30" s="46">
        <v>0</v>
      </c>
      <c r="AO30" s="46">
        <v>0</v>
      </c>
      <c r="AP30" s="46">
        <v>0</v>
      </c>
      <c r="AQ30" s="836">
        <f t="shared" si="40"/>
        <v>0</v>
      </c>
      <c r="AR30" s="46">
        <v>0</v>
      </c>
      <c r="AS30" s="46">
        <v>0</v>
      </c>
      <c r="AT30" s="46">
        <v>0</v>
      </c>
      <c r="AU30" s="46">
        <v>0</v>
      </c>
      <c r="AV30" s="836">
        <f t="shared" si="41"/>
        <v>0</v>
      </c>
      <c r="AW30" s="46">
        <v>0</v>
      </c>
      <c r="AX30" s="46">
        <v>0</v>
      </c>
      <c r="AY30" s="46">
        <v>0</v>
      </c>
      <c r="AZ30" s="46">
        <v>0</v>
      </c>
      <c r="BA30" s="836">
        <f t="shared" si="42"/>
        <v>0</v>
      </c>
      <c r="BB30" s="46">
        <v>0</v>
      </c>
      <c r="BC30" s="46">
        <v>0</v>
      </c>
      <c r="BD30" s="46">
        <v>0</v>
      </c>
      <c r="BE30" s="46">
        <v>0</v>
      </c>
      <c r="BF30" s="836">
        <f t="shared" si="46"/>
        <v>0</v>
      </c>
      <c r="BG30" s="46">
        <v>0</v>
      </c>
      <c r="BH30" s="46">
        <v>0</v>
      </c>
      <c r="BI30" s="46">
        <v>0</v>
      </c>
      <c r="BJ30" s="46">
        <v>0</v>
      </c>
      <c r="BK30" s="836">
        <f t="shared" si="47"/>
        <v>0</v>
      </c>
      <c r="BL30" s="46">
        <v>0</v>
      </c>
      <c r="BM30" s="46">
        <v>0</v>
      </c>
      <c r="BN30" s="46">
        <v>0</v>
      </c>
      <c r="BO30" s="46">
        <v>0</v>
      </c>
      <c r="BP30" s="836">
        <f t="shared" si="48"/>
        <v>0</v>
      </c>
      <c r="BQ30" s="733">
        <v>0</v>
      </c>
      <c r="BR30" s="46">
        <v>0</v>
      </c>
      <c r="BS30" s="46">
        <v>0</v>
      </c>
      <c r="BT30" s="46">
        <v>0</v>
      </c>
      <c r="BU30" s="836">
        <f>SUM(BQ30:BT30)</f>
        <v>0</v>
      </c>
      <c r="BV30" s="733">
        <v>0</v>
      </c>
      <c r="BW30" s="46">
        <v>0</v>
      </c>
      <c r="BX30" s="46">
        <v>0</v>
      </c>
      <c r="BY30" s="46">
        <v>0</v>
      </c>
      <c r="BZ30" s="836">
        <f>SUM(BV30:BY30)</f>
        <v>0</v>
      </c>
      <c r="CA30" s="733">
        <v>0</v>
      </c>
      <c r="CB30" s="46"/>
      <c r="CC30" s="46"/>
      <c r="CD30" s="46"/>
      <c r="CE30" s="836">
        <v>0</v>
      </c>
      <c r="CF30" s="941"/>
      <c r="CG30" s="714"/>
      <c r="CH30" s="714"/>
      <c r="CI30" s="771"/>
      <c r="CK30" s="771"/>
    </row>
    <row r="31" spans="1:89" ht="30" customHeight="1">
      <c r="A31" s="868" t="s">
        <v>75</v>
      </c>
      <c r="B31" s="865" t="s">
        <v>76</v>
      </c>
      <c r="C31" s="52"/>
      <c r="D31" s="52"/>
      <c r="E31" s="52"/>
      <c r="F31" s="52"/>
      <c r="G31" s="836"/>
      <c r="H31" s="52"/>
      <c r="I31" s="52"/>
      <c r="J31" s="52"/>
      <c r="K31" s="52"/>
      <c r="L31" s="836"/>
      <c r="M31" s="52"/>
      <c r="N31" s="52"/>
      <c r="O31" s="52"/>
      <c r="P31" s="52"/>
      <c r="Q31" s="836"/>
      <c r="R31" s="52"/>
      <c r="S31" s="52"/>
      <c r="T31" s="52"/>
      <c r="U31" s="50"/>
      <c r="V31" s="836"/>
      <c r="W31" s="52"/>
      <c r="X31" s="53"/>
      <c r="Y31" s="46"/>
      <c r="Z31" s="46"/>
      <c r="AA31" s="836"/>
      <c r="AB31" s="52"/>
      <c r="AC31" s="46"/>
      <c r="AD31" s="46"/>
      <c r="AE31" s="46">
        <v>2.8</v>
      </c>
      <c r="AF31" s="836">
        <f t="shared" si="53"/>
        <v>2.8</v>
      </c>
      <c r="AG31" s="52">
        <v>5.2</v>
      </c>
      <c r="AH31" s="66">
        <v>-0.1</v>
      </c>
      <c r="AI31" s="66">
        <v>-3.5</v>
      </c>
      <c r="AJ31" s="36">
        <v>-2.8</v>
      </c>
      <c r="AK31" s="836">
        <f t="shared" ref="AK31" si="54">SUM(AG31:AJ31)</f>
        <v>-1.1999999999999993</v>
      </c>
      <c r="AL31" s="848"/>
      <c r="AM31" s="46">
        <v>5.2</v>
      </c>
      <c r="AN31" s="66">
        <v>-0.1</v>
      </c>
      <c r="AO31" s="66">
        <v>-3.5</v>
      </c>
      <c r="AP31" s="46">
        <v>-2.8</v>
      </c>
      <c r="AQ31" s="836">
        <f t="shared" ref="AQ31" si="55">SUM(AM31:AP31)</f>
        <v>-1.1999999999999993</v>
      </c>
      <c r="AR31" s="52">
        <v>-1.7</v>
      </c>
      <c r="AS31" s="66">
        <v>-1.9</v>
      </c>
      <c r="AT31" s="66">
        <v>-1.3</v>
      </c>
      <c r="AU31" s="46">
        <v>-1.6</v>
      </c>
      <c r="AV31" s="836">
        <f>SUM(AR31:AU31)</f>
        <v>-6.5</v>
      </c>
      <c r="AW31" s="52">
        <v>-1.7</v>
      </c>
      <c r="AX31" s="66">
        <v>-1.9</v>
      </c>
      <c r="AY31" s="66">
        <v>-1.3</v>
      </c>
      <c r="AZ31" s="46">
        <v>-1.6</v>
      </c>
      <c r="BA31" s="836">
        <f>SUM(AW31:AZ31)</f>
        <v>-6.5</v>
      </c>
      <c r="BB31" s="52">
        <v>16.3</v>
      </c>
      <c r="BC31" s="66">
        <v>17.8</v>
      </c>
      <c r="BD31" s="66">
        <v>13.5</v>
      </c>
      <c r="BE31" s="46">
        <v>-45.6</v>
      </c>
      <c r="BF31" s="836">
        <f>SUM(BB31:BE31)</f>
        <v>2</v>
      </c>
      <c r="BG31" s="52">
        <v>16.5</v>
      </c>
      <c r="BH31" s="52">
        <v>25</v>
      </c>
      <c r="BI31" s="66">
        <v>22.5</v>
      </c>
      <c r="BJ31" s="66">
        <v>11.4</v>
      </c>
      <c r="BK31" s="836">
        <f>SUM(BG31:BJ31)</f>
        <v>75.400000000000006</v>
      </c>
      <c r="BL31" s="52">
        <v>14.7</v>
      </c>
      <c r="BM31" s="52">
        <v>24.2</v>
      </c>
      <c r="BN31" s="66">
        <v>23.8</v>
      </c>
      <c r="BO31" s="66">
        <f>94.5-BN31-BM31-BL31</f>
        <v>31.8</v>
      </c>
      <c r="BP31" s="836">
        <f t="shared" si="48"/>
        <v>94.5</v>
      </c>
      <c r="BQ31" s="710">
        <v>20.3</v>
      </c>
      <c r="BR31" s="52">
        <v>-9.9</v>
      </c>
      <c r="BS31" s="46">
        <v>19.3</v>
      </c>
      <c r="BT31" s="46">
        <v>0</v>
      </c>
      <c r="BU31" s="836">
        <f t="shared" ref="BU31" si="56">SUM(BQ31:BT31)</f>
        <v>29.700000000000003</v>
      </c>
      <c r="BV31" s="733">
        <v>0</v>
      </c>
      <c r="BW31" s="52">
        <v>0.1</v>
      </c>
      <c r="BX31" s="46">
        <v>-0.8</v>
      </c>
      <c r="BY31" s="46">
        <v>0</v>
      </c>
      <c r="BZ31" s="836">
        <f t="shared" ref="BZ31" si="57">SUM(BV31:BY31)</f>
        <v>-0.70000000000000007</v>
      </c>
      <c r="CA31" s="733">
        <v>0</v>
      </c>
      <c r="CB31" s="52"/>
      <c r="CC31" s="46"/>
      <c r="CD31" s="46"/>
      <c r="CE31" s="836">
        <f t="shared" ref="CE31" si="58">SUM(CA31:CD31)</f>
        <v>0</v>
      </c>
      <c r="CF31" s="941"/>
      <c r="CG31" s="714"/>
      <c r="CH31" s="714"/>
      <c r="CI31" s="771"/>
      <c r="CK31" s="771"/>
    </row>
    <row r="32" spans="1:89" s="378" customFormat="1" ht="22.5" customHeight="1">
      <c r="A32" s="871" t="s">
        <v>77</v>
      </c>
      <c r="B32" s="871" t="s">
        <v>78</v>
      </c>
      <c r="C32" s="656">
        <f t="shared" ref="C32:AK32" si="59">C25+C26+C27+C30+C31</f>
        <v>246.30000000000004</v>
      </c>
      <c r="D32" s="656">
        <f t="shared" si="59"/>
        <v>112.89999999999996</v>
      </c>
      <c r="E32" s="656">
        <f t="shared" si="59"/>
        <v>198.20000000000005</v>
      </c>
      <c r="F32" s="656">
        <f t="shared" si="59"/>
        <v>138.20000000000019</v>
      </c>
      <c r="G32" s="832">
        <f t="shared" si="59"/>
        <v>695.59999999999911</v>
      </c>
      <c r="H32" s="656">
        <f t="shared" si="59"/>
        <v>109.27999999999996</v>
      </c>
      <c r="I32" s="656">
        <f t="shared" si="59"/>
        <v>94.09999999999998</v>
      </c>
      <c r="J32" s="656">
        <f t="shared" si="59"/>
        <v>200.79999999999998</v>
      </c>
      <c r="K32" s="656">
        <f t="shared" si="59"/>
        <v>188.69999999999993</v>
      </c>
      <c r="L32" s="832">
        <f t="shared" si="59"/>
        <v>592.88000000000034</v>
      </c>
      <c r="M32" s="656">
        <f t="shared" si="59"/>
        <v>112.59999999999977</v>
      </c>
      <c r="N32" s="656">
        <f t="shared" si="59"/>
        <v>148.7999999999999</v>
      </c>
      <c r="O32" s="656">
        <f t="shared" si="59"/>
        <v>49.299999999999685</v>
      </c>
      <c r="P32" s="656">
        <f t="shared" si="59"/>
        <v>3.5000000000007732</v>
      </c>
      <c r="Q32" s="832">
        <f t="shared" si="59"/>
        <v>314.19999999999925</v>
      </c>
      <c r="R32" s="656">
        <f t="shared" si="59"/>
        <v>196.79999999999995</v>
      </c>
      <c r="S32" s="656">
        <f t="shared" si="59"/>
        <v>350.4</v>
      </c>
      <c r="T32" s="656">
        <f t="shared" si="59"/>
        <v>613.29999999999961</v>
      </c>
      <c r="U32" s="656">
        <f t="shared" si="59"/>
        <v>171.90000000000038</v>
      </c>
      <c r="V32" s="832">
        <f t="shared" si="59"/>
        <v>1332.3999999999994</v>
      </c>
      <c r="W32" s="656">
        <f t="shared" si="59"/>
        <v>205.70000000000005</v>
      </c>
      <c r="X32" s="656">
        <f t="shared" si="59"/>
        <v>252.10000000000014</v>
      </c>
      <c r="Y32" s="657">
        <f t="shared" si="59"/>
        <v>334.90000000000038</v>
      </c>
      <c r="Z32" s="657">
        <f t="shared" si="59"/>
        <v>240.69999999999996</v>
      </c>
      <c r="AA32" s="832">
        <f t="shared" si="59"/>
        <v>1033.4000000000001</v>
      </c>
      <c r="AB32" s="656">
        <f t="shared" si="59"/>
        <v>302.20000000000033</v>
      </c>
      <c r="AC32" s="656">
        <f t="shared" si="59"/>
        <v>389.2999999999999</v>
      </c>
      <c r="AD32" s="656">
        <f t="shared" si="59"/>
        <v>289.10000000000002</v>
      </c>
      <c r="AE32" s="656">
        <f t="shared" si="59"/>
        <v>354.40000000000003</v>
      </c>
      <c r="AF32" s="832">
        <f t="shared" si="59"/>
        <v>1335.0000000000007</v>
      </c>
      <c r="AG32" s="656">
        <f t="shared" si="59"/>
        <v>393.49999999999972</v>
      </c>
      <c r="AH32" s="656">
        <f t="shared" si="59"/>
        <v>355.19999999999987</v>
      </c>
      <c r="AI32" s="656">
        <f t="shared" si="59"/>
        <v>304.30000000000007</v>
      </c>
      <c r="AJ32" s="658">
        <f t="shared" si="59"/>
        <v>304.59999999999997</v>
      </c>
      <c r="AK32" s="832">
        <f t="shared" si="59"/>
        <v>1357.5999999999997</v>
      </c>
      <c r="AL32" s="846"/>
      <c r="AM32" s="887">
        <f t="shared" ref="AM32:AV32" si="60">AM25+AM26+AM27+AM30+AM31</f>
        <v>364.7</v>
      </c>
      <c r="AN32" s="656">
        <f t="shared" si="60"/>
        <v>330.69999999999982</v>
      </c>
      <c r="AO32" s="656">
        <f t="shared" si="60"/>
        <v>303.0999999999998</v>
      </c>
      <c r="AP32" s="658">
        <f t="shared" si="60"/>
        <v>307.59999999999997</v>
      </c>
      <c r="AQ32" s="832">
        <f t="shared" si="60"/>
        <v>1306.1000000000029</v>
      </c>
      <c r="AR32" s="656">
        <f t="shared" si="60"/>
        <v>378.80000000000024</v>
      </c>
      <c r="AS32" s="656">
        <f t="shared" si="60"/>
        <v>357</v>
      </c>
      <c r="AT32" s="656">
        <f t="shared" si="60"/>
        <v>318.99999999999972</v>
      </c>
      <c r="AU32" s="656">
        <f t="shared" si="60"/>
        <v>427.30000000000092</v>
      </c>
      <c r="AV32" s="832">
        <f t="shared" si="60"/>
        <v>1482.1000000000024</v>
      </c>
      <c r="AW32" s="656">
        <f>AW25+AW26+AW27+AW31+AW30</f>
        <v>374.59999999999951</v>
      </c>
      <c r="AX32" s="656">
        <f>AX25+AX26+AX27+AX30+AX31</f>
        <v>355.39999999999975</v>
      </c>
      <c r="AY32" s="656">
        <f>AY25+AY26+AY27+AY30+AY31</f>
        <v>305.99999999999983</v>
      </c>
      <c r="AZ32" s="656">
        <f>AZ25+AZ26+AZ27+AZ30+AZ31</f>
        <v>431.60000000000019</v>
      </c>
      <c r="BA32" s="832">
        <f>BA25+BA26+BA27+BA30+BA31</f>
        <v>1467.600000000001</v>
      </c>
      <c r="BB32" s="656">
        <f>BB25+BB26+BB27+BB31+BB30</f>
        <v>250.48882651999986</v>
      </c>
      <c r="BC32" s="656">
        <f>BC25+BC26+BC27+BC30+BC31</f>
        <v>363.00000000000085</v>
      </c>
      <c r="BD32" s="656">
        <f>BD25+BD26+BD27+BD30+BD31</f>
        <v>426.5999999999998</v>
      </c>
      <c r="BE32" s="656">
        <f>BE25+BE26+BE27+BE30+BE31</f>
        <v>402.00000000000011</v>
      </c>
      <c r="BF32" s="832">
        <f>BF25+BF26+BF27+BF30+BF31</f>
        <v>1442.0888265199992</v>
      </c>
      <c r="BG32" s="656">
        <f>BG25+BG26+BG27+BG31+BG30</f>
        <v>498.5</v>
      </c>
      <c r="BH32" s="656">
        <f>BH25+BH26+BH27+BH30+BH31</f>
        <v>655.99999999999989</v>
      </c>
      <c r="BI32" s="656">
        <f>BI25+BI26+BI27+BI30+BI31</f>
        <v>4082.7000000000007</v>
      </c>
      <c r="BJ32" s="656">
        <f>BJ25+BJ26+BJ27+BJ30+BJ31</f>
        <v>428.89999999999964</v>
      </c>
      <c r="BK32" s="832">
        <f>BK25+BK26+BK27+BK30+BK31</f>
        <v>5666.0999999999985</v>
      </c>
      <c r="BL32" s="656">
        <f>BL25+BL26+BL27+BL31+BL30</f>
        <v>265.09999999999997</v>
      </c>
      <c r="BM32" s="656">
        <f>BM25+BM26+BM27+BM30+BM31</f>
        <v>324.99999999999983</v>
      </c>
      <c r="BN32" s="656">
        <f>BN25+BN26+BN27+BN30+BN31</f>
        <v>297.30000000000075</v>
      </c>
      <c r="BO32" s="656">
        <f>BO25+BO26+BO27+BO30+BO31</f>
        <v>222.89999999999895</v>
      </c>
      <c r="BP32" s="832">
        <f>BP25+BP26+BP27+BP30+BP31</f>
        <v>1110.3000000000002</v>
      </c>
      <c r="BQ32" s="707">
        <f>BQ25+BQ26+BQ27+BQ31+BQ30</f>
        <v>84.100000000000577</v>
      </c>
      <c r="BR32" s="707">
        <f>BR25+BR26+BR27+BR31+BR30</f>
        <v>40.200000000000195</v>
      </c>
      <c r="BS32" s="656">
        <f>BS25+BS26+BS27+BS30+BS31</f>
        <v>171.10000000000042</v>
      </c>
      <c r="BT32" s="656">
        <f>BT25+BT26+BT27+BT30+BT31</f>
        <v>126.4000000000002</v>
      </c>
      <c r="BU32" s="832">
        <f>BU25+BU26+BU27+BU30+BU31</f>
        <v>421.80000000000194</v>
      </c>
      <c r="BV32" s="707">
        <f>BV25+BV26+BV27+BV31+BV30</f>
        <v>270.59862972000099</v>
      </c>
      <c r="BW32" s="707">
        <f>BW25+BW26+BW27+BW31+BW30</f>
        <v>213.20000000000041</v>
      </c>
      <c r="BX32" s="707">
        <f>BX25+BX26+BX27+BX31+BX30</f>
        <v>371.89999999999969</v>
      </c>
      <c r="BY32" s="656">
        <f>BY25+BY28+BY29+BY31+BY30</f>
        <v>223.79999999999981</v>
      </c>
      <c r="BZ32" s="832">
        <f>BZ25+BZ28+BZ29+BZ31+BZ30</f>
        <v>1079.4986297199994</v>
      </c>
      <c r="CA32" s="707">
        <f t="shared" ref="CA32" si="61">CA25+CA28+CA29+CA31+CA30</f>
        <v>122.50000000000023</v>
      </c>
      <c r="CB32" s="707"/>
      <c r="CC32" s="707"/>
      <c r="CD32" s="656"/>
      <c r="CE32" s="832">
        <f>CE25+CE28+CE29+CE31+CE30</f>
        <v>122.50000000000023</v>
      </c>
      <c r="CF32" s="941"/>
      <c r="CG32" s="714"/>
      <c r="CH32" s="714"/>
      <c r="CI32" s="771"/>
      <c r="CK32" s="771"/>
    </row>
    <row r="33" spans="1:16357" ht="20.149999999999999" customHeight="1">
      <c r="A33" s="868" t="s">
        <v>79</v>
      </c>
      <c r="B33" s="864" t="s">
        <v>80</v>
      </c>
      <c r="C33" s="53">
        <v>-41.2</v>
      </c>
      <c r="D33" s="52">
        <v>-13.4</v>
      </c>
      <c r="E33" s="52">
        <v>-26.2</v>
      </c>
      <c r="F33" s="52">
        <v>-16.600000000000001</v>
      </c>
      <c r="G33" s="836">
        <f>SUM(C33:F33)</f>
        <v>-97.4</v>
      </c>
      <c r="H33" s="53">
        <v>-14.1</v>
      </c>
      <c r="I33" s="52">
        <v>-13.4</v>
      </c>
      <c r="J33" s="52">
        <v>-24.4</v>
      </c>
      <c r="K33" s="52">
        <v>-15.5</v>
      </c>
      <c r="L33" s="836">
        <f>SUM(H33:K33)</f>
        <v>-67.400000000000006</v>
      </c>
      <c r="M33" s="53">
        <v>-14.400000000000002</v>
      </c>
      <c r="N33" s="52">
        <v>-16.7</v>
      </c>
      <c r="O33" s="52">
        <v>-1.1000000000000001</v>
      </c>
      <c r="P33" s="52">
        <v>10.5</v>
      </c>
      <c r="Q33" s="836">
        <f>SUM(M33:P33)</f>
        <v>-21.700000000000003</v>
      </c>
      <c r="R33" s="53">
        <v>-26</v>
      </c>
      <c r="S33" s="52">
        <v>-45.9</v>
      </c>
      <c r="T33" s="52">
        <v>-110.8</v>
      </c>
      <c r="U33" s="53">
        <v>13.7</v>
      </c>
      <c r="V33" s="836">
        <v>-169</v>
      </c>
      <c r="W33" s="53">
        <v>-27.2</v>
      </c>
      <c r="X33" s="53">
        <v>-21.2</v>
      </c>
      <c r="Y33" s="36">
        <v>-65.099999999999994</v>
      </c>
      <c r="Z33" s="53">
        <v>101.1</v>
      </c>
      <c r="AA33" s="836">
        <f t="shared" si="7"/>
        <v>-12.400000000000006</v>
      </c>
      <c r="AB33" s="53">
        <v>-30.8</v>
      </c>
      <c r="AC33" s="53">
        <v>-107.6</v>
      </c>
      <c r="AD33" s="36">
        <v>-54.2</v>
      </c>
      <c r="AE33" s="53">
        <v>-197.2</v>
      </c>
      <c r="AF33" s="836">
        <f t="shared" si="8"/>
        <v>-389.8</v>
      </c>
      <c r="AG33" s="53">
        <v>-78</v>
      </c>
      <c r="AH33" s="53">
        <v>-102.1</v>
      </c>
      <c r="AI33" s="75">
        <v>-77.3</v>
      </c>
      <c r="AJ33" s="53">
        <v>-246.74845572261776</v>
      </c>
      <c r="AK33" s="836">
        <f>SUM(AG33:AJ33)</f>
        <v>-504.14845572261777</v>
      </c>
      <c r="AL33" s="848"/>
      <c r="AM33" s="53">
        <v>-72.5</v>
      </c>
      <c r="AN33" s="53">
        <v>-99.3</v>
      </c>
      <c r="AO33" s="706">
        <v>-76</v>
      </c>
      <c r="AP33" s="53">
        <v>-242.2</v>
      </c>
      <c r="AQ33" s="836">
        <f>SUM(AM33:AP33)</f>
        <v>-490</v>
      </c>
      <c r="AR33" s="53">
        <v>-78</v>
      </c>
      <c r="AS33" s="53">
        <v>-86.9</v>
      </c>
      <c r="AT33" s="53">
        <v>-72</v>
      </c>
      <c r="AU33" s="53">
        <v>-118.9</v>
      </c>
      <c r="AV33" s="836">
        <f>SUM(AR33:AU33)</f>
        <v>-355.8</v>
      </c>
      <c r="AW33" s="53">
        <v>-77.3</v>
      </c>
      <c r="AX33" s="53">
        <v>-86.5</v>
      </c>
      <c r="AY33" s="706">
        <v>-69.5</v>
      </c>
      <c r="AZ33" s="53">
        <v>-119.7</v>
      </c>
      <c r="BA33" s="836">
        <f>SUM(AW33:AZ33)</f>
        <v>-353</v>
      </c>
      <c r="BB33" s="53">
        <v>-66.7</v>
      </c>
      <c r="BC33" s="53">
        <v>-72.3</v>
      </c>
      <c r="BD33" s="706">
        <v>-81.599999999999994</v>
      </c>
      <c r="BE33" s="53">
        <v>-75.3</v>
      </c>
      <c r="BF33" s="836">
        <f>SUM(BB33:BE33)</f>
        <v>-295.89999999999998</v>
      </c>
      <c r="BG33" s="53">
        <v>-108.1</v>
      </c>
      <c r="BH33" s="52">
        <v>-114.3</v>
      </c>
      <c r="BI33" s="52">
        <v>-934</v>
      </c>
      <c r="BJ33" s="52">
        <v>-95.2</v>
      </c>
      <c r="BK33" s="836">
        <f>SUM(BG33:BJ33)</f>
        <v>-1251.6000000000001</v>
      </c>
      <c r="BL33" s="53">
        <v>-52.3</v>
      </c>
      <c r="BM33" s="52">
        <v>-42.3</v>
      </c>
      <c r="BN33" s="92">
        <v>-66.2</v>
      </c>
      <c r="BO33" s="52">
        <f>-209.2-BN33-BM33-BL33</f>
        <v>-48.400000000000006</v>
      </c>
      <c r="BP33" s="836">
        <f>SUM(BL33:BO33)</f>
        <v>-209.20000000000002</v>
      </c>
      <c r="BQ33" s="710">
        <v>-13.1</v>
      </c>
      <c r="BR33" s="52">
        <v>-32.1</v>
      </c>
      <c r="BS33" s="92">
        <v>-68.900000000000006</v>
      </c>
      <c r="BT33" s="92">
        <v>3.9</v>
      </c>
      <c r="BU33" s="836">
        <f>SUM(BQ33:BT33)</f>
        <v>-110.2</v>
      </c>
      <c r="BV33" s="710">
        <v>-86.3</v>
      </c>
      <c r="BW33" s="52">
        <v>-37.700000000000003</v>
      </c>
      <c r="BX33" s="92">
        <v>-122.1</v>
      </c>
      <c r="BY33" s="92">
        <v>-56.1</v>
      </c>
      <c r="BZ33" s="836">
        <f>SUM(BV33:BY33)</f>
        <v>-302.2</v>
      </c>
      <c r="CA33" s="710">
        <v>-35.799999999999997</v>
      </c>
      <c r="CB33" s="52"/>
      <c r="CC33" s="92"/>
      <c r="CD33" s="92"/>
      <c r="CE33" s="836">
        <f>SUM(CA33:CD33)</f>
        <v>-35.799999999999997</v>
      </c>
      <c r="CF33" s="941"/>
      <c r="CG33" s="714"/>
      <c r="CH33" s="714"/>
      <c r="CI33" s="771"/>
      <c r="CK33" s="771"/>
    </row>
    <row r="34" spans="1:16357" s="378" customFormat="1" ht="22.5" customHeight="1">
      <c r="A34" s="871" t="s">
        <v>81</v>
      </c>
      <c r="B34" s="871" t="s">
        <v>82</v>
      </c>
      <c r="C34" s="656">
        <f t="shared" ref="C34:AK34" si="62">C32+C33</f>
        <v>205.10000000000002</v>
      </c>
      <c r="D34" s="656">
        <f t="shared" si="62"/>
        <v>99.499999999999957</v>
      </c>
      <c r="E34" s="656">
        <f t="shared" si="62"/>
        <v>172.00000000000006</v>
      </c>
      <c r="F34" s="656">
        <f t="shared" si="62"/>
        <v>121.60000000000019</v>
      </c>
      <c r="G34" s="832">
        <f>G32+G33</f>
        <v>598.19999999999914</v>
      </c>
      <c r="H34" s="656">
        <f t="shared" si="62"/>
        <v>95.179999999999964</v>
      </c>
      <c r="I34" s="656">
        <f t="shared" si="62"/>
        <v>80.699999999999974</v>
      </c>
      <c r="J34" s="656">
        <f t="shared" si="62"/>
        <v>176.39999999999998</v>
      </c>
      <c r="K34" s="656">
        <f t="shared" si="62"/>
        <v>173.19999999999993</v>
      </c>
      <c r="L34" s="832">
        <f t="shared" si="62"/>
        <v>525.48000000000036</v>
      </c>
      <c r="M34" s="656">
        <f t="shared" si="62"/>
        <v>98.199999999999761</v>
      </c>
      <c r="N34" s="656">
        <f t="shared" si="62"/>
        <v>132.09999999999991</v>
      </c>
      <c r="O34" s="656">
        <f t="shared" si="62"/>
        <v>48.199999999999683</v>
      </c>
      <c r="P34" s="656">
        <f t="shared" si="62"/>
        <v>14.000000000000773</v>
      </c>
      <c r="Q34" s="832">
        <f t="shared" si="62"/>
        <v>292.49999999999926</v>
      </c>
      <c r="R34" s="656">
        <f t="shared" si="62"/>
        <v>170.79999999999995</v>
      </c>
      <c r="S34" s="656">
        <f t="shared" si="62"/>
        <v>304.5</v>
      </c>
      <c r="T34" s="656">
        <f t="shared" si="62"/>
        <v>502.4999999999996</v>
      </c>
      <c r="U34" s="656">
        <f t="shared" si="62"/>
        <v>185.60000000000036</v>
      </c>
      <c r="V34" s="832">
        <f t="shared" si="62"/>
        <v>1163.3999999999994</v>
      </c>
      <c r="W34" s="656">
        <f t="shared" si="62"/>
        <v>178.50000000000006</v>
      </c>
      <c r="X34" s="656">
        <f t="shared" si="62"/>
        <v>230.90000000000015</v>
      </c>
      <c r="Y34" s="657">
        <f t="shared" si="62"/>
        <v>269.80000000000041</v>
      </c>
      <c r="Z34" s="657">
        <f t="shared" si="62"/>
        <v>341.79999999999995</v>
      </c>
      <c r="AA34" s="832">
        <f t="shared" si="62"/>
        <v>1021.0000000000001</v>
      </c>
      <c r="AB34" s="656">
        <f t="shared" si="62"/>
        <v>271.40000000000032</v>
      </c>
      <c r="AC34" s="656">
        <f t="shared" si="62"/>
        <v>281.69999999999993</v>
      </c>
      <c r="AD34" s="656">
        <f t="shared" si="62"/>
        <v>234.90000000000003</v>
      </c>
      <c r="AE34" s="656">
        <f t="shared" si="62"/>
        <v>157.20000000000005</v>
      </c>
      <c r="AF34" s="832">
        <f t="shared" si="62"/>
        <v>945.20000000000073</v>
      </c>
      <c r="AG34" s="656">
        <f t="shared" si="62"/>
        <v>315.49999999999972</v>
      </c>
      <c r="AH34" s="656">
        <f t="shared" si="62"/>
        <v>253.09999999999988</v>
      </c>
      <c r="AI34" s="656">
        <f t="shared" si="62"/>
        <v>227.00000000000006</v>
      </c>
      <c r="AJ34" s="658">
        <f t="shared" si="62"/>
        <v>57.851544277382203</v>
      </c>
      <c r="AK34" s="832">
        <f t="shared" si="62"/>
        <v>853.45154427738191</v>
      </c>
      <c r="AL34" s="846"/>
      <c r="AM34" s="887">
        <f t="shared" ref="AM34:BK34" si="63">AM32+AM33</f>
        <v>292.2</v>
      </c>
      <c r="AN34" s="656">
        <f t="shared" si="63"/>
        <v>231.39999999999981</v>
      </c>
      <c r="AO34" s="656">
        <f t="shared" si="63"/>
        <v>227.0999999999998</v>
      </c>
      <c r="AP34" s="658">
        <f t="shared" si="63"/>
        <v>65.399999999999977</v>
      </c>
      <c r="AQ34" s="832">
        <f t="shared" si="63"/>
        <v>816.10000000000286</v>
      </c>
      <c r="AR34" s="656">
        <f>AR32+AR33</f>
        <v>300.80000000000024</v>
      </c>
      <c r="AS34" s="656">
        <f t="shared" si="63"/>
        <v>270.10000000000002</v>
      </c>
      <c r="AT34" s="656">
        <f t="shared" si="63"/>
        <v>246.99999999999972</v>
      </c>
      <c r="AU34" s="656">
        <f t="shared" si="63"/>
        <v>308.40000000000089</v>
      </c>
      <c r="AV34" s="832">
        <f t="shared" si="63"/>
        <v>1126.3000000000025</v>
      </c>
      <c r="AW34" s="656">
        <f t="shared" si="63"/>
        <v>297.2999999999995</v>
      </c>
      <c r="AX34" s="656">
        <f t="shared" si="63"/>
        <v>268.89999999999975</v>
      </c>
      <c r="AY34" s="656">
        <f t="shared" si="63"/>
        <v>236.49999999999983</v>
      </c>
      <c r="AZ34" s="656">
        <f t="shared" si="63"/>
        <v>311.9000000000002</v>
      </c>
      <c r="BA34" s="832">
        <f t="shared" si="63"/>
        <v>1114.600000000001</v>
      </c>
      <c r="BB34" s="656">
        <f t="shared" si="63"/>
        <v>183.78882651999987</v>
      </c>
      <c r="BC34" s="656">
        <f t="shared" si="63"/>
        <v>290.70000000000084</v>
      </c>
      <c r="BD34" s="656">
        <f t="shared" si="63"/>
        <v>344.99999999999977</v>
      </c>
      <c r="BE34" s="656">
        <f t="shared" si="63"/>
        <v>326.7000000000001</v>
      </c>
      <c r="BF34" s="832">
        <f t="shared" si="63"/>
        <v>1146.1888265199991</v>
      </c>
      <c r="BG34" s="656">
        <f t="shared" si="63"/>
        <v>390.4</v>
      </c>
      <c r="BH34" s="656">
        <f t="shared" si="63"/>
        <v>541.69999999999993</v>
      </c>
      <c r="BI34" s="656">
        <f t="shared" si="63"/>
        <v>3148.7000000000007</v>
      </c>
      <c r="BJ34" s="656">
        <f t="shared" si="63"/>
        <v>333.69999999999965</v>
      </c>
      <c r="BK34" s="832">
        <f t="shared" si="63"/>
        <v>4414.4999999999982</v>
      </c>
      <c r="BL34" s="656">
        <f>BL32+BL33</f>
        <v>212.79999999999995</v>
      </c>
      <c r="BM34" s="656">
        <f t="shared" ref="BM34:BP34" si="64">BM32+BM33</f>
        <v>282.69999999999982</v>
      </c>
      <c r="BN34" s="656">
        <f t="shared" si="64"/>
        <v>231.10000000000076</v>
      </c>
      <c r="BO34" s="656">
        <f t="shared" si="64"/>
        <v>174.49999999999895</v>
      </c>
      <c r="BP34" s="832">
        <f t="shared" si="64"/>
        <v>901.10000000000014</v>
      </c>
      <c r="BQ34" s="707">
        <f>BQ32+BQ33</f>
        <v>71.000000000000583</v>
      </c>
      <c r="BR34" s="656">
        <f t="shared" ref="BR34:BU34" si="65">BR32+BR33</f>
        <v>8.1000000000001933</v>
      </c>
      <c r="BS34" s="656">
        <f t="shared" si="65"/>
        <v>102.20000000000041</v>
      </c>
      <c r="BT34" s="656">
        <f t="shared" si="65"/>
        <v>130.30000000000021</v>
      </c>
      <c r="BU34" s="832">
        <f t="shared" si="65"/>
        <v>311.60000000000196</v>
      </c>
      <c r="BV34" s="707">
        <f>BV32+BV33</f>
        <v>184.29862972000097</v>
      </c>
      <c r="BW34" s="707">
        <f>BW32+BW33</f>
        <v>175.5000000000004</v>
      </c>
      <c r="BX34" s="707">
        <f>BX32+BX33</f>
        <v>249.7999999999997</v>
      </c>
      <c r="BY34" s="656">
        <f>BY32+BY33</f>
        <v>167.69999999999982</v>
      </c>
      <c r="BZ34" s="832">
        <f t="shared" ref="BZ34:CA34" si="66">BZ32+BZ33</f>
        <v>777.29862971999933</v>
      </c>
      <c r="CA34" s="707">
        <f t="shared" si="66"/>
        <v>86.70000000000023</v>
      </c>
      <c r="CB34" s="707"/>
      <c r="CC34" s="707"/>
      <c r="CD34" s="656"/>
      <c r="CE34" s="832">
        <f t="shared" ref="CE34" si="67">CE32+CE33</f>
        <v>86.70000000000023</v>
      </c>
      <c r="CF34" s="769"/>
      <c r="CG34" s="714"/>
      <c r="CH34" s="714"/>
      <c r="CI34" s="772"/>
    </row>
    <row r="35" spans="1:16357" ht="30" customHeight="1">
      <c r="A35" s="868" t="s">
        <v>83</v>
      </c>
      <c r="B35" s="859" t="s">
        <v>84</v>
      </c>
      <c r="C35" s="36">
        <f>C34</f>
        <v>205.10000000000002</v>
      </c>
      <c r="D35" s="52">
        <f t="shared" ref="D35:V35" si="68">D34</f>
        <v>99.499999999999957</v>
      </c>
      <c r="E35" s="52">
        <f t="shared" si="68"/>
        <v>172.00000000000006</v>
      </c>
      <c r="F35" s="52">
        <f t="shared" si="68"/>
        <v>121.60000000000019</v>
      </c>
      <c r="G35" s="836">
        <f t="shared" si="68"/>
        <v>598.19999999999914</v>
      </c>
      <c r="H35" s="36">
        <f t="shared" si="68"/>
        <v>95.179999999999964</v>
      </c>
      <c r="I35" s="52">
        <f t="shared" si="68"/>
        <v>80.699999999999974</v>
      </c>
      <c r="J35" s="52">
        <f t="shared" si="68"/>
        <v>176.39999999999998</v>
      </c>
      <c r="K35" s="52">
        <f t="shared" si="68"/>
        <v>173.19999999999993</v>
      </c>
      <c r="L35" s="836">
        <f t="shared" si="68"/>
        <v>525.48000000000036</v>
      </c>
      <c r="M35" s="36">
        <f t="shared" si="68"/>
        <v>98.199999999999761</v>
      </c>
      <c r="N35" s="52">
        <f t="shared" si="68"/>
        <v>132.09999999999991</v>
      </c>
      <c r="O35" s="52">
        <f t="shared" si="68"/>
        <v>48.199999999999683</v>
      </c>
      <c r="P35" s="52">
        <f t="shared" si="68"/>
        <v>14.000000000000773</v>
      </c>
      <c r="Q35" s="836">
        <f t="shared" si="68"/>
        <v>292.49999999999926</v>
      </c>
      <c r="R35" s="36">
        <f t="shared" si="68"/>
        <v>170.79999999999995</v>
      </c>
      <c r="S35" s="52">
        <f t="shared" si="68"/>
        <v>304.5</v>
      </c>
      <c r="T35" s="52">
        <f t="shared" si="68"/>
        <v>502.4999999999996</v>
      </c>
      <c r="U35" s="54">
        <f t="shared" si="68"/>
        <v>185.60000000000036</v>
      </c>
      <c r="V35" s="836">
        <f t="shared" si="68"/>
        <v>1163.3999999999994</v>
      </c>
      <c r="W35" s="36">
        <v>175.5</v>
      </c>
      <c r="X35" s="53">
        <v>237.7</v>
      </c>
      <c r="Y35" s="36">
        <v>278.2</v>
      </c>
      <c r="Z35" s="54">
        <v>349.9</v>
      </c>
      <c r="AA35" s="836">
        <f t="shared" si="7"/>
        <v>1041.3</v>
      </c>
      <c r="AB35" s="36">
        <v>279.39999999999998</v>
      </c>
      <c r="AC35" s="53">
        <v>291.2</v>
      </c>
      <c r="AD35" s="36">
        <v>242.9</v>
      </c>
      <c r="AE35" s="36">
        <v>167.1</v>
      </c>
      <c r="AF35" s="836">
        <f t="shared" si="8"/>
        <v>980.59999999999991</v>
      </c>
      <c r="AG35" s="36"/>
      <c r="AH35" s="53"/>
      <c r="AI35" s="75"/>
      <c r="AJ35" s="36"/>
      <c r="AK35" s="836">
        <f t="shared" ref="AK35:AK36" si="69">SUM(AG35:AJ35)</f>
        <v>0</v>
      </c>
      <c r="AL35" s="848"/>
      <c r="AM35" s="36">
        <v>300.8</v>
      </c>
      <c r="AN35" s="53">
        <v>235.8</v>
      </c>
      <c r="AO35" s="53">
        <v>226.1</v>
      </c>
      <c r="AP35" s="36">
        <v>70.900000000000006</v>
      </c>
      <c r="AQ35" s="836">
        <f t="shared" ref="AQ35:AQ36" si="70">SUM(AM35:AP35)</f>
        <v>833.6</v>
      </c>
      <c r="AR35" s="36"/>
      <c r="AS35" s="53"/>
      <c r="AT35" s="53"/>
      <c r="AU35" s="36"/>
      <c r="AV35" s="836"/>
      <c r="AW35" s="36">
        <v>291.89999999999998</v>
      </c>
      <c r="AX35" s="53">
        <v>263.60000000000002</v>
      </c>
      <c r="AY35" s="53">
        <v>231.3</v>
      </c>
      <c r="AZ35" s="36">
        <v>313.8</v>
      </c>
      <c r="BA35" s="836">
        <f t="shared" ref="BA35:BA36" si="71">SUM(AW35:AZ35)</f>
        <v>1100.5999999999999</v>
      </c>
      <c r="BB35" s="36">
        <v>182.4</v>
      </c>
      <c r="BC35" s="53">
        <v>288.39999999999998</v>
      </c>
      <c r="BD35" s="379">
        <v>345.9</v>
      </c>
      <c r="BE35" s="36">
        <v>324.89999999999998</v>
      </c>
      <c r="BF35" s="836">
        <f>SUM(BB35:BE35)</f>
        <v>1141.5999999999999</v>
      </c>
      <c r="BG35" s="36">
        <v>389.6</v>
      </c>
      <c r="BH35" s="52">
        <v>539.29999999999995</v>
      </c>
      <c r="BI35" s="49">
        <v>3142.4</v>
      </c>
      <c r="BJ35" s="36">
        <v>337.5</v>
      </c>
      <c r="BK35" s="836">
        <f>SUM(BG35:BJ35)</f>
        <v>4408.8</v>
      </c>
      <c r="BL35" s="36">
        <v>214.9</v>
      </c>
      <c r="BM35" s="92">
        <v>288.89999999999998</v>
      </c>
      <c r="BN35" s="673">
        <v>236.7</v>
      </c>
      <c r="BO35" s="52">
        <f>900-BN35-BM35-BL35</f>
        <v>159.49999999999997</v>
      </c>
      <c r="BP35" s="836">
        <f>SUM(BL35:BO35)</f>
        <v>900</v>
      </c>
      <c r="BQ35" s="713">
        <v>64.5</v>
      </c>
      <c r="BR35" s="92">
        <v>-7.3</v>
      </c>
      <c r="BS35" s="673">
        <v>120.8</v>
      </c>
      <c r="BT35" s="673">
        <v>100.5</v>
      </c>
      <c r="BU35" s="836">
        <f>SUM(BQ35:BT35)</f>
        <v>278.5</v>
      </c>
      <c r="BV35" s="713">
        <v>180.1</v>
      </c>
      <c r="BW35" s="92">
        <v>146.4</v>
      </c>
      <c r="BX35" s="92">
        <v>248.9</v>
      </c>
      <c r="BY35" s="673">
        <v>135.1</v>
      </c>
      <c r="BZ35" s="836">
        <f>SUM(BV35:BY35)</f>
        <v>710.5</v>
      </c>
      <c r="CA35" s="713">
        <v>82.6</v>
      </c>
      <c r="CB35" s="92"/>
      <c r="CC35" s="92"/>
      <c r="CD35" s="673"/>
      <c r="CE35" s="836">
        <f>SUM(CA35:CD35)</f>
        <v>82.6</v>
      </c>
      <c r="CF35" s="378"/>
      <c r="CG35" s="714"/>
      <c r="CH35" s="714"/>
    </row>
    <row r="36" spans="1:16357" ht="30" customHeight="1">
      <c r="A36" s="868" t="s">
        <v>85</v>
      </c>
      <c r="B36" s="859" t="s">
        <v>86</v>
      </c>
      <c r="C36" s="36"/>
      <c r="D36" s="52"/>
      <c r="E36" s="52"/>
      <c r="F36" s="52"/>
      <c r="G36" s="836"/>
      <c r="H36" s="36"/>
      <c r="I36" s="52"/>
      <c r="J36" s="52"/>
      <c r="K36" s="52"/>
      <c r="L36" s="836"/>
      <c r="M36" s="36"/>
      <c r="N36" s="52"/>
      <c r="O36" s="52"/>
      <c r="P36" s="52"/>
      <c r="Q36" s="836"/>
      <c r="R36" s="36"/>
      <c r="S36" s="52"/>
      <c r="T36" s="52"/>
      <c r="U36" s="54"/>
      <c r="V36" s="836"/>
      <c r="W36" s="36">
        <v>3</v>
      </c>
      <c r="X36" s="53">
        <v>-6.8</v>
      </c>
      <c r="Y36" s="36">
        <v>-8.4</v>
      </c>
      <c r="Z36" s="54">
        <v>-8.1</v>
      </c>
      <c r="AA36" s="836">
        <f t="shared" si="7"/>
        <v>-20.299999999999997</v>
      </c>
      <c r="AB36" s="36">
        <v>-8</v>
      </c>
      <c r="AC36" s="53">
        <v>-9.5</v>
      </c>
      <c r="AD36" s="36">
        <v>-8</v>
      </c>
      <c r="AE36" s="36">
        <v>-9.9</v>
      </c>
      <c r="AF36" s="836">
        <f t="shared" si="8"/>
        <v>-35.4</v>
      </c>
      <c r="AG36" s="36"/>
      <c r="AH36" s="53"/>
      <c r="AI36" s="75"/>
      <c r="AJ36" s="36"/>
      <c r="AK36" s="836">
        <f t="shared" si="69"/>
        <v>0</v>
      </c>
      <c r="AL36" s="848"/>
      <c r="AM36" s="36">
        <v>-8.6</v>
      </c>
      <c r="AN36" s="53">
        <v>-4.4000000000000004</v>
      </c>
      <c r="AO36" s="53">
        <v>1</v>
      </c>
      <c r="AP36" s="36">
        <v>-5.5</v>
      </c>
      <c r="AQ36" s="836">
        <f t="shared" si="70"/>
        <v>-17.5</v>
      </c>
      <c r="AR36" s="36"/>
      <c r="AS36" s="53"/>
      <c r="AT36" s="53"/>
      <c r="AU36" s="36"/>
      <c r="AV36" s="836"/>
      <c r="AW36" s="36">
        <v>5.4</v>
      </c>
      <c r="AX36" s="53">
        <v>5.3</v>
      </c>
      <c r="AY36" s="53">
        <v>5.2</v>
      </c>
      <c r="AZ36" s="36">
        <v>-1.9</v>
      </c>
      <c r="BA36" s="836">
        <f t="shared" si="71"/>
        <v>13.999999999999998</v>
      </c>
      <c r="BB36" s="36">
        <v>1.4</v>
      </c>
      <c r="BC36" s="53">
        <v>2.2999999999999998</v>
      </c>
      <c r="BD36" s="53">
        <v>-0.9</v>
      </c>
      <c r="BE36" s="36">
        <v>1.8</v>
      </c>
      <c r="BF36" s="836">
        <f t="shared" ref="BF36" si="72">SUM(BB36:BE36)</f>
        <v>4.5999999999999996</v>
      </c>
      <c r="BG36" s="36">
        <v>0.8</v>
      </c>
      <c r="BH36" s="52">
        <v>2.4</v>
      </c>
      <c r="BI36" s="53">
        <v>6.3</v>
      </c>
      <c r="BJ36" s="36">
        <v>-3.8</v>
      </c>
      <c r="BK36" s="836">
        <f t="shared" ref="BK36" si="73">SUM(BG36:BJ36)</f>
        <v>5.7</v>
      </c>
      <c r="BL36" s="36">
        <v>-2.1</v>
      </c>
      <c r="BM36" s="92">
        <v>-6.2</v>
      </c>
      <c r="BN36" s="93">
        <v>-5.6</v>
      </c>
      <c r="BO36" s="52">
        <f>1.1-BN36-BM36-BL36</f>
        <v>14.999999999999998</v>
      </c>
      <c r="BP36" s="836">
        <f>SUM(BL36:BO36)</f>
        <v>1.0999999999999979</v>
      </c>
      <c r="BQ36" s="713">
        <v>6.5</v>
      </c>
      <c r="BR36" s="92">
        <v>15.4</v>
      </c>
      <c r="BS36" s="93">
        <v>-18.600000000000001</v>
      </c>
      <c r="BT36" s="93">
        <v>29.8</v>
      </c>
      <c r="BU36" s="836">
        <f>SUM(BQ36:BT36)</f>
        <v>33.099999999999994</v>
      </c>
      <c r="BV36" s="713">
        <v>4.2</v>
      </c>
      <c r="BW36" s="92">
        <v>29.1</v>
      </c>
      <c r="BX36" s="92">
        <v>0.9</v>
      </c>
      <c r="BY36" s="93">
        <v>32.6</v>
      </c>
      <c r="BZ36" s="836">
        <f>SUM(BV36:BY36)</f>
        <v>66.800000000000011</v>
      </c>
      <c r="CA36" s="713">
        <v>4.0999999999999996</v>
      </c>
      <c r="CB36" s="92"/>
      <c r="CC36" s="92"/>
      <c r="CD36" s="93"/>
      <c r="CE36" s="836">
        <f>SUM(CA36:CD36)</f>
        <v>4.0999999999999996</v>
      </c>
      <c r="CF36" s="378"/>
      <c r="CG36" s="714"/>
      <c r="CH36" s="714"/>
    </row>
    <row r="37" spans="1:16357" s="51" customFormat="1" ht="20.149999999999999" customHeight="1">
      <c r="A37" s="869" t="s">
        <v>87</v>
      </c>
      <c r="B37" s="866" t="s">
        <v>88</v>
      </c>
      <c r="C37" s="87">
        <f t="shared" ref="C37:M37" si="74">ROUND(C34/348.352836,2)</f>
        <v>0.59</v>
      </c>
      <c r="D37" s="55">
        <f t="shared" si="74"/>
        <v>0.28999999999999998</v>
      </c>
      <c r="E37" s="55">
        <f t="shared" si="74"/>
        <v>0.49</v>
      </c>
      <c r="F37" s="55">
        <f t="shared" si="74"/>
        <v>0.35</v>
      </c>
      <c r="G37" s="838">
        <f t="shared" si="74"/>
        <v>1.72</v>
      </c>
      <c r="H37" s="87">
        <f t="shared" si="74"/>
        <v>0.27</v>
      </c>
      <c r="I37" s="55">
        <f t="shared" si="74"/>
        <v>0.23</v>
      </c>
      <c r="J37" s="55">
        <f t="shared" si="74"/>
        <v>0.51</v>
      </c>
      <c r="K37" s="55">
        <f t="shared" si="74"/>
        <v>0.5</v>
      </c>
      <c r="L37" s="838">
        <f t="shared" si="74"/>
        <v>1.51</v>
      </c>
      <c r="M37" s="87">
        <f t="shared" si="74"/>
        <v>0.28000000000000003</v>
      </c>
      <c r="N37" s="55">
        <f>ROUND(N34/524.348714,2)</f>
        <v>0.25</v>
      </c>
      <c r="O37" s="55">
        <f>ROUND(O34/639.546016,2)</f>
        <v>0.08</v>
      </c>
      <c r="P37" s="55">
        <f>ROUND(P34/639.546016,2)</f>
        <v>0.02</v>
      </c>
      <c r="Q37" s="838">
        <f>ROUND(Q34/539.024535,2)</f>
        <v>0.54</v>
      </c>
      <c r="R37" s="87">
        <f t="shared" ref="R37:AK37" si="75">ROUND(R34/639.546016,2)</f>
        <v>0.27</v>
      </c>
      <c r="S37" s="55">
        <f t="shared" si="75"/>
        <v>0.48</v>
      </c>
      <c r="T37" s="55">
        <f t="shared" si="75"/>
        <v>0.79</v>
      </c>
      <c r="U37" s="56">
        <f t="shared" si="75"/>
        <v>0.28999999999999998</v>
      </c>
      <c r="V37" s="838">
        <f t="shared" si="75"/>
        <v>1.82</v>
      </c>
      <c r="W37" s="87">
        <f t="shared" si="75"/>
        <v>0.28000000000000003</v>
      </c>
      <c r="X37" s="57">
        <f>ROUNDUP(X34/639.546016,2)</f>
        <v>0.37</v>
      </c>
      <c r="Y37" s="37">
        <f t="shared" si="75"/>
        <v>0.42</v>
      </c>
      <c r="Z37" s="37">
        <f>ROUNDUP(Z34/639.546016,2)</f>
        <v>0.54</v>
      </c>
      <c r="AA37" s="838">
        <f t="shared" si="75"/>
        <v>1.6</v>
      </c>
      <c r="AB37" s="87">
        <f t="shared" si="75"/>
        <v>0.42</v>
      </c>
      <c r="AC37" s="57">
        <f t="shared" si="75"/>
        <v>0.44</v>
      </c>
      <c r="AD37" s="57">
        <f t="shared" si="75"/>
        <v>0.37</v>
      </c>
      <c r="AE37" s="57">
        <f t="shared" si="75"/>
        <v>0.25</v>
      </c>
      <c r="AF37" s="838">
        <f t="shared" si="75"/>
        <v>1.48</v>
      </c>
      <c r="AG37" s="87">
        <f t="shared" si="75"/>
        <v>0.49</v>
      </c>
      <c r="AH37" s="57">
        <f t="shared" si="75"/>
        <v>0.4</v>
      </c>
      <c r="AI37" s="57">
        <f t="shared" si="75"/>
        <v>0.35</v>
      </c>
      <c r="AJ37" s="87">
        <f t="shared" si="75"/>
        <v>0.09</v>
      </c>
      <c r="AK37" s="838">
        <f t="shared" si="75"/>
        <v>1.33</v>
      </c>
      <c r="AL37" s="853"/>
      <c r="AM37" s="57">
        <f t="shared" ref="AM37:AQ37" si="76">ROUND(AM34/639.546016,2)</f>
        <v>0.46</v>
      </c>
      <c r="AN37" s="57">
        <f t="shared" si="76"/>
        <v>0.36</v>
      </c>
      <c r="AO37" s="57">
        <v>0.35</v>
      </c>
      <c r="AP37" s="87">
        <v>0.11</v>
      </c>
      <c r="AQ37" s="838">
        <f t="shared" si="76"/>
        <v>1.28</v>
      </c>
      <c r="AR37" s="87"/>
      <c r="AS37" s="57"/>
      <c r="AT37" s="57"/>
      <c r="AU37" s="87"/>
      <c r="AV37" s="838"/>
      <c r="AW37" s="87">
        <f>ROUND(AW34/639.546016,2)</f>
        <v>0.46</v>
      </c>
      <c r="AX37" s="57">
        <v>0.43</v>
      </c>
      <c r="AY37" s="57">
        <v>0.37</v>
      </c>
      <c r="AZ37" s="87">
        <v>0.48</v>
      </c>
      <c r="BA37" s="838">
        <f t="shared" ref="BA37" si="77">ROUND(BA34/639.546016,2)</f>
        <v>1.74</v>
      </c>
      <c r="BB37" s="87">
        <f>ROUND(BB34/639.546016,2)</f>
        <v>0.28999999999999998</v>
      </c>
      <c r="BC37" s="87">
        <f t="shared" ref="BC37:BF37" si="78">ROUND(BC34/639.546016,2)</f>
        <v>0.45</v>
      </c>
      <c r="BD37" s="87">
        <f t="shared" si="78"/>
        <v>0.54</v>
      </c>
      <c r="BE37" s="87">
        <f t="shared" si="78"/>
        <v>0.51</v>
      </c>
      <c r="BF37" s="838">
        <f t="shared" si="78"/>
        <v>1.79</v>
      </c>
      <c r="BG37" s="87">
        <f>ROUND(BG34/639.546016,2)</f>
        <v>0.61</v>
      </c>
      <c r="BH37" s="87">
        <f t="shared" ref="BH37" si="79">ROUND(BH34/639.546016,2)</f>
        <v>0.85</v>
      </c>
      <c r="BI37" s="87">
        <f>ROUNDDOWN(BI34/639.546016,2)</f>
        <v>4.92</v>
      </c>
      <c r="BJ37" s="87">
        <f>BJ34/621.258207</f>
        <v>0.53713576133087548</v>
      </c>
      <c r="BK37" s="838">
        <f>BK34/634.936486</f>
        <v>6.9526639236164458</v>
      </c>
      <c r="BL37" s="87">
        <f>BL34/568.37189</f>
        <v>0.37440275239509108</v>
      </c>
      <c r="BM37" s="674">
        <f>BM34/561.525804</f>
        <v>0.50344970433451319</v>
      </c>
      <c r="BN37" s="682">
        <f>BN34/550.703531</f>
        <v>0.41964503038568818</v>
      </c>
      <c r="BO37" s="682">
        <f>BP37-BL37-BM37-BN37</f>
        <v>0.32250251288470771</v>
      </c>
      <c r="BP37" s="838">
        <v>1.62</v>
      </c>
      <c r="BQ37" s="720">
        <v>0.13</v>
      </c>
      <c r="BR37" s="674">
        <v>0.01</v>
      </c>
      <c r="BS37" s="682">
        <v>0.19</v>
      </c>
      <c r="BT37" s="682">
        <v>0.24</v>
      </c>
      <c r="BU37" s="838">
        <f>SUM(BQ37:BT37)</f>
        <v>0.57000000000000006</v>
      </c>
      <c r="BV37" s="720">
        <v>0.33</v>
      </c>
      <c r="BW37" s="674">
        <v>0.32</v>
      </c>
      <c r="BX37" s="682">
        <v>0.46</v>
      </c>
      <c r="BY37" s="682">
        <v>0.3</v>
      </c>
      <c r="BZ37" s="838">
        <f>SUM(BV37:BY37)</f>
        <v>1.4100000000000001</v>
      </c>
      <c r="CA37" s="720">
        <v>0.16</v>
      </c>
      <c r="CB37" s="674"/>
      <c r="CC37" s="682"/>
      <c r="CD37" s="682"/>
      <c r="CE37" s="838">
        <f>SUM(CA37:CD37)</f>
        <v>0.16</v>
      </c>
      <c r="CF37" s="750"/>
      <c r="CG37" s="714"/>
      <c r="CH37" s="749"/>
    </row>
    <row r="38" spans="1:16357" s="378" customFormat="1" ht="22.5" customHeight="1">
      <c r="A38" s="872" t="s">
        <v>89</v>
      </c>
      <c r="B38" s="872" t="s">
        <v>89</v>
      </c>
      <c r="C38" s="876">
        <f t="shared" ref="C38:AK38" si="80">C25-C13</f>
        <v>257.40000000000003</v>
      </c>
      <c r="D38" s="876">
        <f t="shared" si="80"/>
        <v>269.7</v>
      </c>
      <c r="E38" s="876">
        <f t="shared" si="80"/>
        <v>257.8</v>
      </c>
      <c r="F38" s="876">
        <f t="shared" si="80"/>
        <v>247.20000000000016</v>
      </c>
      <c r="G38" s="889">
        <f t="shared" si="80"/>
        <v>1032.0999999999992</v>
      </c>
      <c r="H38" s="876">
        <f t="shared" si="80"/>
        <v>245.37999999999994</v>
      </c>
      <c r="I38" s="876">
        <f t="shared" si="80"/>
        <v>257.3</v>
      </c>
      <c r="J38" s="876">
        <f t="shared" si="80"/>
        <v>268.2</v>
      </c>
      <c r="K38" s="876">
        <f t="shared" si="80"/>
        <v>275.39999999999998</v>
      </c>
      <c r="L38" s="889">
        <f t="shared" si="80"/>
        <v>1046.2800000000002</v>
      </c>
      <c r="M38" s="876">
        <f t="shared" si="80"/>
        <v>281.99999999999977</v>
      </c>
      <c r="N38" s="876">
        <f t="shared" si="80"/>
        <v>708.89999999999986</v>
      </c>
      <c r="O38" s="876">
        <f t="shared" si="80"/>
        <v>910.09999999999968</v>
      </c>
      <c r="P38" s="876">
        <f t="shared" si="80"/>
        <v>837.30000000000075</v>
      </c>
      <c r="Q38" s="889">
        <f t="shared" si="80"/>
        <v>2738.2999999999993</v>
      </c>
      <c r="R38" s="876">
        <f t="shared" si="80"/>
        <v>896.59999999999991</v>
      </c>
      <c r="S38" s="876">
        <f t="shared" si="80"/>
        <v>977</v>
      </c>
      <c r="T38" s="876">
        <f t="shared" si="80"/>
        <v>930.39999999999964</v>
      </c>
      <c r="U38" s="876">
        <f t="shared" si="80"/>
        <v>881.10000000000036</v>
      </c>
      <c r="V38" s="889">
        <f t="shared" si="80"/>
        <v>3685.0999999999995</v>
      </c>
      <c r="W38" s="876">
        <f t="shared" si="80"/>
        <v>846.5</v>
      </c>
      <c r="X38" s="876">
        <f t="shared" si="80"/>
        <v>935.00000000000011</v>
      </c>
      <c r="Y38" s="895">
        <f t="shared" si="80"/>
        <v>957.00000000000034</v>
      </c>
      <c r="Z38" s="895">
        <f t="shared" si="80"/>
        <v>902.3</v>
      </c>
      <c r="AA38" s="889">
        <f t="shared" si="80"/>
        <v>3640.8</v>
      </c>
      <c r="AB38" s="876">
        <f t="shared" si="80"/>
        <v>929.50000000000034</v>
      </c>
      <c r="AC38" s="876">
        <f t="shared" si="80"/>
        <v>963.69999999999982</v>
      </c>
      <c r="AD38" s="876">
        <f t="shared" si="80"/>
        <v>851.1</v>
      </c>
      <c r="AE38" s="876">
        <f t="shared" si="80"/>
        <v>872.7</v>
      </c>
      <c r="AF38" s="889">
        <f t="shared" si="80"/>
        <v>3617.0000000000009</v>
      </c>
      <c r="AG38" s="876">
        <f t="shared" si="80"/>
        <v>918.79999999999973</v>
      </c>
      <c r="AH38" s="876">
        <f t="shared" si="80"/>
        <v>927.59999999999991</v>
      </c>
      <c r="AI38" s="876">
        <f t="shared" si="80"/>
        <v>848.50000000000011</v>
      </c>
      <c r="AJ38" s="874">
        <f t="shared" si="80"/>
        <v>846.6</v>
      </c>
      <c r="AK38" s="889">
        <f t="shared" si="80"/>
        <v>3541.4999999999995</v>
      </c>
      <c r="AL38" s="846"/>
      <c r="AM38" s="888">
        <f t="shared" ref="AM38:BR38" si="81">AM25-AM13</f>
        <v>890</v>
      </c>
      <c r="AN38" s="876">
        <f t="shared" si="81"/>
        <v>946.39999999999986</v>
      </c>
      <c r="AO38" s="876">
        <f t="shared" si="81"/>
        <v>919.99999999999977</v>
      </c>
      <c r="AP38" s="874">
        <f t="shared" si="81"/>
        <v>941.3</v>
      </c>
      <c r="AQ38" s="889">
        <f t="shared" si="81"/>
        <v>3697.700000000003</v>
      </c>
      <c r="AR38" s="876">
        <f t="shared" si="81"/>
        <v>922.00000000000023</v>
      </c>
      <c r="AS38" s="876">
        <f t="shared" si="81"/>
        <v>959.9</v>
      </c>
      <c r="AT38" s="876">
        <f t="shared" si="81"/>
        <v>901.1999999999997</v>
      </c>
      <c r="AU38" s="876">
        <f t="shared" si="81"/>
        <v>938.20000000000095</v>
      </c>
      <c r="AV38" s="889">
        <f t="shared" si="81"/>
        <v>3721.3000000000029</v>
      </c>
      <c r="AW38" s="876">
        <f t="shared" si="81"/>
        <v>1038.2999999999995</v>
      </c>
      <c r="AX38" s="876">
        <f t="shared" si="81"/>
        <v>1076.0999999999999</v>
      </c>
      <c r="AY38" s="876">
        <f t="shared" si="81"/>
        <v>1020.4999999999999</v>
      </c>
      <c r="AZ38" s="876">
        <f t="shared" si="81"/>
        <v>1061.8000000000002</v>
      </c>
      <c r="BA38" s="889">
        <f t="shared" si="81"/>
        <v>4196.7000000000007</v>
      </c>
      <c r="BB38" s="876">
        <f t="shared" si="81"/>
        <v>1026.6888265199998</v>
      </c>
      <c r="BC38" s="876">
        <f t="shared" si="81"/>
        <v>960.0000000000008</v>
      </c>
      <c r="BD38" s="876">
        <f t="shared" si="81"/>
        <v>1078.8999999999999</v>
      </c>
      <c r="BE38" s="876">
        <f t="shared" si="81"/>
        <v>1126.3000000000002</v>
      </c>
      <c r="BF38" s="889">
        <f t="shared" si="81"/>
        <v>4191.8888265199985</v>
      </c>
      <c r="BG38" s="876">
        <f t="shared" si="81"/>
        <v>1082.7</v>
      </c>
      <c r="BH38" s="876">
        <f t="shared" si="81"/>
        <v>1140.8999999999999</v>
      </c>
      <c r="BI38" s="876">
        <f t="shared" si="81"/>
        <v>4595.0000000000009</v>
      </c>
      <c r="BJ38" s="876">
        <f t="shared" si="81"/>
        <v>880.99999999999966</v>
      </c>
      <c r="BK38" s="889">
        <f t="shared" si="81"/>
        <v>7699.5999999999985</v>
      </c>
      <c r="BL38" s="876">
        <f t="shared" si="81"/>
        <v>766.6</v>
      </c>
      <c r="BM38" s="876">
        <f t="shared" si="81"/>
        <v>893.29999999999984</v>
      </c>
      <c r="BN38" s="876">
        <f t="shared" si="81"/>
        <v>953.0000000000008</v>
      </c>
      <c r="BO38" s="876">
        <f t="shared" si="81"/>
        <v>858.29999999999905</v>
      </c>
      <c r="BP38" s="889">
        <f t="shared" si="81"/>
        <v>3471.2000000000003</v>
      </c>
      <c r="BQ38" s="890">
        <f t="shared" si="81"/>
        <v>761.2000000000005</v>
      </c>
      <c r="BR38" s="876">
        <f t="shared" si="81"/>
        <v>798.50000000000023</v>
      </c>
      <c r="BS38" s="876">
        <f t="shared" ref="BS38:CE38" si="82">BS25-BS13-BS18-BS22</f>
        <v>994.80000000000041</v>
      </c>
      <c r="BT38" s="876">
        <f t="shared" si="82"/>
        <v>676.70000000000016</v>
      </c>
      <c r="BU38" s="889">
        <f t="shared" si="82"/>
        <v>3231.2000000000021</v>
      </c>
      <c r="BV38" s="876">
        <f t="shared" si="82"/>
        <v>946.29862972000103</v>
      </c>
      <c r="BW38" s="876">
        <f t="shared" si="82"/>
        <v>865.00000000000045</v>
      </c>
      <c r="BX38" s="876">
        <f t="shared" si="82"/>
        <v>886.39999999999975</v>
      </c>
      <c r="BY38" s="876">
        <f t="shared" si="82"/>
        <v>739.89999999999986</v>
      </c>
      <c r="BZ38" s="889">
        <f t="shared" si="82"/>
        <v>3437.5986297199997</v>
      </c>
      <c r="CA38" s="876">
        <f t="shared" si="82"/>
        <v>809.10000000000025</v>
      </c>
      <c r="CB38" s="876"/>
      <c r="CC38" s="876"/>
      <c r="CD38" s="876"/>
      <c r="CE38" s="889">
        <f t="shared" si="82"/>
        <v>809.10000000000025</v>
      </c>
      <c r="CG38" s="714"/>
      <c r="CH38" s="714"/>
    </row>
    <row r="39" spans="1:16357" s="378" customFormat="1" ht="22.5" customHeight="1">
      <c r="A39" s="896" t="s">
        <v>90</v>
      </c>
      <c r="B39" s="896" t="s">
        <v>91</v>
      </c>
      <c r="C39" s="892">
        <f t="shared" ref="C39:AK39" si="83">C38/C5</f>
        <v>0.38463837417812313</v>
      </c>
      <c r="D39" s="892">
        <f t="shared" si="83"/>
        <v>0.377836929111796</v>
      </c>
      <c r="E39" s="892">
        <f t="shared" si="83"/>
        <v>0.4</v>
      </c>
      <c r="F39" s="892">
        <f t="shared" si="83"/>
        <v>0.32933653077537983</v>
      </c>
      <c r="G39" s="893">
        <f t="shared" si="83"/>
        <v>0.37151290450307745</v>
      </c>
      <c r="H39" s="892">
        <f t="shared" si="83"/>
        <v>0.35200114761153339</v>
      </c>
      <c r="I39" s="892">
        <f t="shared" si="83"/>
        <v>0.34963989672509854</v>
      </c>
      <c r="J39" s="892">
        <f t="shared" si="83"/>
        <v>0.39598405433338257</v>
      </c>
      <c r="K39" s="892">
        <f t="shared" si="83"/>
        <v>0.34403497813866329</v>
      </c>
      <c r="L39" s="893">
        <f t="shared" si="83"/>
        <v>0.35944757454995196</v>
      </c>
      <c r="M39" s="892">
        <f t="shared" si="83"/>
        <v>0.38987971795935272</v>
      </c>
      <c r="N39" s="892">
        <f t="shared" si="83"/>
        <v>0.40603700097370976</v>
      </c>
      <c r="O39" s="892">
        <f t="shared" si="83"/>
        <v>0.37613655149611497</v>
      </c>
      <c r="P39" s="892">
        <f t="shared" si="83"/>
        <v>0.33211693308476481</v>
      </c>
      <c r="Q39" s="893">
        <f t="shared" si="83"/>
        <v>0.36954614772129168</v>
      </c>
      <c r="R39" s="892">
        <f t="shared" si="83"/>
        <v>0.38497209102619145</v>
      </c>
      <c r="S39" s="892">
        <f t="shared" si="83"/>
        <v>0.39567471245747615</v>
      </c>
      <c r="T39" s="892">
        <f t="shared" si="83"/>
        <v>0.3852747525777464</v>
      </c>
      <c r="U39" s="892">
        <f t="shared" si="83"/>
        <v>0.33759914172956829</v>
      </c>
      <c r="V39" s="893">
        <f t="shared" si="83"/>
        <v>0.37515015779293487</v>
      </c>
      <c r="W39" s="892">
        <f t="shared" si="83"/>
        <v>0.35807952622673433</v>
      </c>
      <c r="X39" s="892">
        <f t="shared" si="83"/>
        <v>0.3827418232428671</v>
      </c>
      <c r="Y39" s="897">
        <f t="shared" si="83"/>
        <v>0.4007873356227491</v>
      </c>
      <c r="Z39" s="897">
        <f t="shared" si="83"/>
        <v>0.35592284328034396</v>
      </c>
      <c r="AA39" s="893">
        <f t="shared" si="83"/>
        <v>0.37419063084544396</v>
      </c>
      <c r="AB39" s="892">
        <f t="shared" si="83"/>
        <v>0.38914008205643491</v>
      </c>
      <c r="AC39" s="892">
        <f t="shared" si="83"/>
        <v>0.39017773998947319</v>
      </c>
      <c r="AD39" s="892">
        <f t="shared" si="83"/>
        <v>0.35597473754653058</v>
      </c>
      <c r="AE39" s="892">
        <f t="shared" si="83"/>
        <v>0.33836073200992561</v>
      </c>
      <c r="AF39" s="893">
        <f t="shared" si="83"/>
        <v>0.36800765114054906</v>
      </c>
      <c r="AG39" s="892">
        <f t="shared" si="83"/>
        <v>0.3892065912653026</v>
      </c>
      <c r="AH39" s="892">
        <f t="shared" si="83"/>
        <v>0.37450038354394599</v>
      </c>
      <c r="AI39" s="892">
        <f t="shared" si="83"/>
        <v>0.34840272645150699</v>
      </c>
      <c r="AJ39" s="892">
        <f t="shared" si="83"/>
        <v>0.3156599552572707</v>
      </c>
      <c r="AK39" s="893">
        <f t="shared" si="83"/>
        <v>0.35575087895529878</v>
      </c>
      <c r="AL39" s="854"/>
      <c r="AM39" s="891">
        <f t="shared" ref="AM39:CE39" si="84">AM38/AM5</f>
        <v>0.37938531054179631</v>
      </c>
      <c r="AN39" s="892">
        <f t="shared" si="84"/>
        <v>0.36355255070682235</v>
      </c>
      <c r="AO39" s="892">
        <f t="shared" si="84"/>
        <v>0.33638025594149901</v>
      </c>
      <c r="AP39" s="892">
        <f t="shared" si="84"/>
        <v>0.31355762824783479</v>
      </c>
      <c r="AQ39" s="893">
        <f t="shared" si="84"/>
        <v>0.3460289535003418</v>
      </c>
      <c r="AR39" s="892">
        <f t="shared" si="84"/>
        <v>0.33136860264519846</v>
      </c>
      <c r="AS39" s="892">
        <f t="shared" si="84"/>
        <v>0.32952282869893579</v>
      </c>
      <c r="AT39" s="892">
        <f t="shared" si="84"/>
        <v>0.31266696735246147</v>
      </c>
      <c r="AU39" s="892">
        <f t="shared" si="84"/>
        <v>0.30670153644982046</v>
      </c>
      <c r="AV39" s="893">
        <f t="shared" si="84"/>
        <v>0.31978997482104055</v>
      </c>
      <c r="AW39" s="892">
        <f t="shared" si="84"/>
        <v>0.37193724029230529</v>
      </c>
      <c r="AX39" s="892">
        <f t="shared" si="84"/>
        <v>0.36814916182004787</v>
      </c>
      <c r="AY39" s="892">
        <f t="shared" si="84"/>
        <v>0.35282118655787575</v>
      </c>
      <c r="AZ39" s="892">
        <f t="shared" si="84"/>
        <v>0.34596461503372328</v>
      </c>
      <c r="BA39" s="893">
        <f t="shared" si="84"/>
        <v>0.35942652084171944</v>
      </c>
      <c r="BB39" s="892">
        <f t="shared" si="84"/>
        <v>0.36043139424960502</v>
      </c>
      <c r="BC39" s="892">
        <f t="shared" si="84"/>
        <v>0.33534774862891703</v>
      </c>
      <c r="BD39" s="892">
        <f t="shared" si="84"/>
        <v>0.35921425004161806</v>
      </c>
      <c r="BE39" s="892">
        <f t="shared" si="84"/>
        <v>0.34674589003140205</v>
      </c>
      <c r="BF39" s="893">
        <f t="shared" si="84"/>
        <v>0.35040741179145513</v>
      </c>
      <c r="BG39" s="892">
        <f t="shared" si="84"/>
        <v>0.36242217312713398</v>
      </c>
      <c r="BH39" s="892">
        <f t="shared" si="84"/>
        <v>0.3610785834098173</v>
      </c>
      <c r="BI39" s="892">
        <f t="shared" si="84"/>
        <v>1.5155513044625486</v>
      </c>
      <c r="BJ39" s="892">
        <f t="shared" si="84"/>
        <v>0.2698315467075037</v>
      </c>
      <c r="BK39" s="893">
        <f t="shared" si="84"/>
        <v>0.61873995499839274</v>
      </c>
      <c r="BL39" s="892">
        <f t="shared" si="84"/>
        <v>0.25667124250845413</v>
      </c>
      <c r="BM39" s="892">
        <f t="shared" si="84"/>
        <v>0.27672624763792941</v>
      </c>
      <c r="BN39" s="892">
        <f t="shared" si="84"/>
        <v>0.29135711883579463</v>
      </c>
      <c r="BO39" s="892">
        <f t="shared" si="84"/>
        <v>0.2502624212736177</v>
      </c>
      <c r="BP39" s="893">
        <f t="shared" si="84"/>
        <v>0.2687665017459912</v>
      </c>
      <c r="BQ39" s="894">
        <f t="shared" si="84"/>
        <v>0.23792704654143107</v>
      </c>
      <c r="BR39" s="892">
        <f t="shared" si="84"/>
        <v>0.24271992218371943</v>
      </c>
      <c r="BS39" s="892">
        <f t="shared" si="84"/>
        <v>0.28787221112943845</v>
      </c>
      <c r="BT39" s="892">
        <f t="shared" si="84"/>
        <v>0.18381094662501704</v>
      </c>
      <c r="BU39" s="893">
        <f t="shared" si="84"/>
        <v>0.2371296683619179</v>
      </c>
      <c r="BV39" s="894">
        <f t="shared" si="84"/>
        <v>0.27791454054059839</v>
      </c>
      <c r="BW39" s="894">
        <f t="shared" si="84"/>
        <v>0.25041252931129326</v>
      </c>
      <c r="BX39" s="894">
        <f t="shared" si="84"/>
        <v>0.24763235088699534</v>
      </c>
      <c r="BY39" s="892">
        <f t="shared" si="84"/>
        <v>0.19333176556661699</v>
      </c>
      <c r="BZ39" s="893">
        <f t="shared" si="84"/>
        <v>0.24096614723999829</v>
      </c>
      <c r="CA39" s="894">
        <f t="shared" si="84"/>
        <v>0.22919381338167816</v>
      </c>
      <c r="CB39" s="894"/>
      <c r="CC39" s="894"/>
      <c r="CD39" s="892"/>
      <c r="CE39" s="893">
        <f t="shared" si="84"/>
        <v>0.22919381338167816</v>
      </c>
      <c r="CG39" s="714"/>
      <c r="CH39" s="714"/>
    </row>
    <row r="40" spans="1:16357" s="51" customFormat="1" ht="20.149999999999999" customHeight="1">
      <c r="A40" s="868" t="s">
        <v>92</v>
      </c>
      <c r="B40" s="867" t="s">
        <v>93</v>
      </c>
      <c r="C40" s="46"/>
      <c r="D40" s="110"/>
      <c r="E40" s="110"/>
      <c r="F40" s="110"/>
      <c r="G40" s="836"/>
      <c r="H40" s="46"/>
      <c r="I40" s="110"/>
      <c r="J40" s="110"/>
      <c r="K40" s="110"/>
      <c r="L40" s="836"/>
      <c r="M40" s="46"/>
      <c r="N40" s="110"/>
      <c r="O40" s="110"/>
      <c r="P40" s="110"/>
      <c r="Q40" s="836"/>
      <c r="R40" s="46"/>
      <c r="S40" s="110"/>
      <c r="T40" s="110"/>
      <c r="U40" s="110"/>
      <c r="V40" s="836"/>
      <c r="W40" s="46"/>
      <c r="X40" s="110"/>
      <c r="Y40" s="111"/>
      <c r="Z40" s="111"/>
      <c r="AA40" s="836"/>
      <c r="AB40" s="46"/>
      <c r="AC40" s="110"/>
      <c r="AD40" s="110"/>
      <c r="AE40" s="110"/>
      <c r="AF40" s="836"/>
      <c r="AG40" s="46"/>
      <c r="AH40" s="110"/>
      <c r="AI40" s="110"/>
      <c r="AJ40" s="111"/>
      <c r="AK40" s="836"/>
      <c r="AL40" s="855"/>
      <c r="AM40" s="110"/>
      <c r="AN40" s="110"/>
      <c r="AO40" s="110"/>
      <c r="AP40" s="111"/>
      <c r="AQ40" s="836"/>
      <c r="AR40" s="46"/>
      <c r="AS40" s="110"/>
      <c r="AT40" s="110"/>
      <c r="AU40" s="110"/>
      <c r="AV40" s="836"/>
      <c r="AW40" s="46"/>
      <c r="AX40" s="110"/>
      <c r="AY40" s="110"/>
      <c r="AZ40" s="110"/>
      <c r="BA40" s="836"/>
      <c r="BB40" s="46"/>
      <c r="BC40" s="53">
        <v>-41.5</v>
      </c>
      <c r="BD40" s="53">
        <v>-3.3</v>
      </c>
      <c r="BE40" s="53">
        <v>-1.1000000000000001</v>
      </c>
      <c r="BF40" s="836">
        <f>SUM(BB40:BE40)</f>
        <v>-45.9</v>
      </c>
      <c r="BG40" s="46"/>
      <c r="BH40" s="93"/>
      <c r="BI40" s="93"/>
      <c r="BJ40" s="93"/>
      <c r="BK40" s="836">
        <f>SUM(BG40:BJ40)</f>
        <v>0</v>
      </c>
      <c r="BL40" s="46">
        <v>0</v>
      </c>
      <c r="BM40" s="46">
        <v>0</v>
      </c>
      <c r="BN40" s="46">
        <v>0</v>
      </c>
      <c r="BO40" s="53"/>
      <c r="BP40" s="836">
        <f>SUM(BL40:BO40)</f>
        <v>0</v>
      </c>
      <c r="BQ40" s="712">
        <v>0</v>
      </c>
      <c r="BR40" s="46">
        <v>0</v>
      </c>
      <c r="BS40" s="46">
        <v>0</v>
      </c>
      <c r="BT40" s="46">
        <v>0</v>
      </c>
      <c r="BU40" s="836">
        <f>SUM(BQ40:BT40)</f>
        <v>0</v>
      </c>
      <c r="BV40" s="712">
        <v>0</v>
      </c>
      <c r="BW40" s="46">
        <v>0</v>
      </c>
      <c r="BX40" s="46">
        <v>0</v>
      </c>
      <c r="BY40" s="46">
        <v>0</v>
      </c>
      <c r="BZ40" s="836">
        <f>SUM(BV40:BY40)</f>
        <v>0</v>
      </c>
      <c r="CA40" s="712">
        <v>0</v>
      </c>
      <c r="CB40" s="46"/>
      <c r="CC40" s="46"/>
      <c r="CD40" s="46"/>
      <c r="CE40" s="836">
        <f>SUM(CA40:CD40)</f>
        <v>0</v>
      </c>
      <c r="CF40" s="378"/>
      <c r="CG40" s="714"/>
      <c r="CH40" s="714"/>
    </row>
    <row r="41" spans="1:16357" s="51" customFormat="1" ht="20.149999999999999" customHeight="1">
      <c r="A41" s="868" t="s">
        <v>94</v>
      </c>
      <c r="B41" s="867" t="s">
        <v>95</v>
      </c>
      <c r="C41" s="53"/>
      <c r="D41" s="110"/>
      <c r="E41" s="110"/>
      <c r="F41" s="110"/>
      <c r="G41" s="836"/>
      <c r="H41" s="53"/>
      <c r="I41" s="110"/>
      <c r="J41" s="110"/>
      <c r="K41" s="110"/>
      <c r="L41" s="836"/>
      <c r="M41" s="53"/>
      <c r="N41" s="110"/>
      <c r="O41" s="110"/>
      <c r="P41" s="110"/>
      <c r="Q41" s="836"/>
      <c r="R41" s="53"/>
      <c r="S41" s="110"/>
      <c r="T41" s="110"/>
      <c r="U41" s="110"/>
      <c r="V41" s="836"/>
      <c r="W41" s="53"/>
      <c r="X41" s="110"/>
      <c r="Y41" s="111"/>
      <c r="Z41" s="111"/>
      <c r="AA41" s="836"/>
      <c r="AB41" s="53"/>
      <c r="AC41" s="110"/>
      <c r="AD41" s="110"/>
      <c r="AE41" s="110"/>
      <c r="AF41" s="836"/>
      <c r="AG41" s="53"/>
      <c r="AH41" s="110"/>
      <c r="AI41" s="110"/>
      <c r="AJ41" s="111"/>
      <c r="AK41" s="836"/>
      <c r="AL41" s="855"/>
      <c r="AM41" s="110"/>
      <c r="AN41" s="110"/>
      <c r="AO41" s="110"/>
      <c r="AP41" s="111"/>
      <c r="AQ41" s="836"/>
      <c r="AR41" s="53"/>
      <c r="AS41" s="110"/>
      <c r="AT41" s="110"/>
      <c r="AU41" s="110"/>
      <c r="AV41" s="836"/>
      <c r="AW41" s="53"/>
      <c r="AX41" s="110"/>
      <c r="AY41" s="110"/>
      <c r="AZ41" s="110"/>
      <c r="BA41" s="836"/>
      <c r="BB41" s="53"/>
      <c r="BC41" s="53"/>
      <c r="BD41" s="53"/>
      <c r="BE41" s="53"/>
      <c r="BF41" s="836"/>
      <c r="BG41" s="53"/>
      <c r="BH41" s="93"/>
      <c r="BI41" s="93"/>
      <c r="BJ41" s="93"/>
      <c r="BK41" s="836"/>
      <c r="BL41" s="53">
        <v>-34.1</v>
      </c>
      <c r="BM41" s="46">
        <v>0</v>
      </c>
      <c r="BN41" s="46">
        <v>0</v>
      </c>
      <c r="BO41" s="53"/>
      <c r="BP41" s="836">
        <f>SUM(BL41:BO41)</f>
        <v>-34.1</v>
      </c>
      <c r="BQ41" s="712">
        <v>0</v>
      </c>
      <c r="BR41" s="46">
        <v>0</v>
      </c>
      <c r="BS41" s="46">
        <v>0</v>
      </c>
      <c r="BT41" s="46">
        <v>0</v>
      </c>
      <c r="BU41" s="836">
        <f t="shared" ref="BU41:BU44" si="85">SUM(BQ41:BT41)</f>
        <v>0</v>
      </c>
      <c r="BV41" s="712">
        <v>0</v>
      </c>
      <c r="BW41" s="46">
        <v>0</v>
      </c>
      <c r="BX41" s="46">
        <v>0</v>
      </c>
      <c r="BY41" s="46">
        <v>0</v>
      </c>
      <c r="BZ41" s="836">
        <f t="shared" ref="BZ41:BZ44" si="86">SUM(BV41:BY41)</f>
        <v>0</v>
      </c>
      <c r="CA41" s="712">
        <v>0</v>
      </c>
      <c r="CB41" s="46"/>
      <c r="CC41" s="46"/>
      <c r="CD41" s="46"/>
      <c r="CE41" s="836">
        <f t="shared" ref="CE41:CE44" si="87">SUM(CA41:CD41)</f>
        <v>0</v>
      </c>
      <c r="CF41" s="378"/>
      <c r="CG41" s="714"/>
      <c r="CH41" s="714"/>
    </row>
    <row r="42" spans="1:16357" s="51" customFormat="1" ht="29.4" customHeight="1">
      <c r="A42" s="868" t="s">
        <v>813</v>
      </c>
      <c r="B42" s="868" t="s">
        <v>810</v>
      </c>
      <c r="C42" s="46"/>
      <c r="D42" s="110"/>
      <c r="E42" s="110"/>
      <c r="F42" s="110"/>
      <c r="G42" s="836"/>
      <c r="H42" s="46"/>
      <c r="I42" s="110"/>
      <c r="J42" s="110"/>
      <c r="K42" s="110"/>
      <c r="L42" s="836"/>
      <c r="M42" s="46"/>
      <c r="N42" s="110"/>
      <c r="O42" s="110"/>
      <c r="P42" s="110"/>
      <c r="Q42" s="836"/>
      <c r="R42" s="46"/>
      <c r="S42" s="110"/>
      <c r="T42" s="110"/>
      <c r="U42" s="110"/>
      <c r="V42" s="836"/>
      <c r="W42" s="46"/>
      <c r="X42" s="110"/>
      <c r="Y42" s="111"/>
      <c r="Z42" s="111"/>
      <c r="AA42" s="836"/>
      <c r="AB42" s="46"/>
      <c r="AC42" s="110"/>
      <c r="AD42" s="110"/>
      <c r="AE42" s="110"/>
      <c r="AF42" s="836"/>
      <c r="AG42" s="46"/>
      <c r="AH42" s="110"/>
      <c r="AI42" s="110"/>
      <c r="AJ42" s="111"/>
      <c r="AK42" s="836"/>
      <c r="AL42" s="855"/>
      <c r="AM42" s="110"/>
      <c r="AN42" s="110"/>
      <c r="AO42" s="110"/>
      <c r="AP42" s="111"/>
      <c r="AQ42" s="836"/>
      <c r="AR42" s="46"/>
      <c r="AS42" s="110"/>
      <c r="AT42" s="110"/>
      <c r="AU42" s="110"/>
      <c r="AV42" s="836"/>
      <c r="AW42" s="46"/>
      <c r="AX42" s="110"/>
      <c r="AY42" s="110"/>
      <c r="AZ42" s="110"/>
      <c r="BA42" s="836"/>
      <c r="BB42" s="46"/>
      <c r="BC42" s="53"/>
      <c r="BD42" s="53"/>
      <c r="BE42" s="53"/>
      <c r="BF42" s="836"/>
      <c r="BG42" s="46"/>
      <c r="BH42" s="93"/>
      <c r="BI42" s="93"/>
      <c r="BJ42" s="93"/>
      <c r="BK42" s="836"/>
      <c r="BL42" s="46"/>
      <c r="BM42" s="46"/>
      <c r="BN42" s="46"/>
      <c r="BO42" s="53"/>
      <c r="BP42" s="836"/>
      <c r="BQ42" s="712">
        <v>0</v>
      </c>
      <c r="BR42" s="46">
        <v>0</v>
      </c>
      <c r="BS42" s="46">
        <v>220.1</v>
      </c>
      <c r="BT42" s="46">
        <v>-0.4</v>
      </c>
      <c r="BU42" s="836">
        <f t="shared" si="85"/>
        <v>219.7</v>
      </c>
      <c r="BV42" s="712">
        <v>10</v>
      </c>
      <c r="BW42" s="46">
        <v>0</v>
      </c>
      <c r="BX42" s="46">
        <v>0</v>
      </c>
      <c r="BY42" s="46">
        <v>0</v>
      </c>
      <c r="BZ42" s="836">
        <f t="shared" si="86"/>
        <v>10</v>
      </c>
      <c r="CA42" s="712">
        <v>-0.2</v>
      </c>
      <c r="CB42" s="46"/>
      <c r="CC42" s="46"/>
      <c r="CD42" s="46"/>
      <c r="CE42" s="836">
        <f t="shared" si="87"/>
        <v>-0.2</v>
      </c>
      <c r="CF42" s="378"/>
      <c r="CG42" s="714"/>
      <c r="CH42" s="714"/>
    </row>
    <row r="43" spans="1:16357" s="51" customFormat="1" ht="20.149999999999999" customHeight="1">
      <c r="A43" s="868" t="s">
        <v>807</v>
      </c>
      <c r="B43" s="868" t="s">
        <v>811</v>
      </c>
      <c r="C43" s="46"/>
      <c r="D43" s="110"/>
      <c r="E43" s="110"/>
      <c r="F43" s="110"/>
      <c r="G43" s="836"/>
      <c r="H43" s="46"/>
      <c r="I43" s="110"/>
      <c r="J43" s="110"/>
      <c r="K43" s="110"/>
      <c r="L43" s="836"/>
      <c r="M43" s="46"/>
      <c r="N43" s="110"/>
      <c r="O43" s="110"/>
      <c r="P43" s="110"/>
      <c r="Q43" s="836"/>
      <c r="R43" s="46"/>
      <c r="S43" s="110"/>
      <c r="T43" s="110"/>
      <c r="U43" s="110"/>
      <c r="V43" s="836"/>
      <c r="W43" s="46"/>
      <c r="X43" s="110"/>
      <c r="Y43" s="111"/>
      <c r="Z43" s="111"/>
      <c r="AA43" s="836"/>
      <c r="AB43" s="46"/>
      <c r="AC43" s="110"/>
      <c r="AD43" s="110"/>
      <c r="AE43" s="110"/>
      <c r="AF43" s="836"/>
      <c r="AG43" s="46"/>
      <c r="AH43" s="110"/>
      <c r="AI43" s="110"/>
      <c r="AJ43" s="111"/>
      <c r="AK43" s="836"/>
      <c r="AL43" s="855"/>
      <c r="AM43" s="110"/>
      <c r="AN43" s="110"/>
      <c r="AO43" s="110"/>
      <c r="AP43" s="111"/>
      <c r="AQ43" s="836"/>
      <c r="AR43" s="46"/>
      <c r="AS43" s="110"/>
      <c r="AT43" s="110"/>
      <c r="AU43" s="110"/>
      <c r="AV43" s="836"/>
      <c r="AW43" s="46"/>
      <c r="AX43" s="110"/>
      <c r="AY43" s="110"/>
      <c r="AZ43" s="110"/>
      <c r="BA43" s="836"/>
      <c r="BB43" s="46"/>
      <c r="BC43" s="53"/>
      <c r="BD43" s="53"/>
      <c r="BE43" s="53"/>
      <c r="BF43" s="836"/>
      <c r="BG43" s="46"/>
      <c r="BH43" s="93"/>
      <c r="BI43" s="93"/>
      <c r="BJ43" s="93"/>
      <c r="BK43" s="836"/>
      <c r="BL43" s="46"/>
      <c r="BM43" s="46"/>
      <c r="BN43" s="46"/>
      <c r="BO43" s="53"/>
      <c r="BP43" s="836"/>
      <c r="BQ43" s="712">
        <v>0</v>
      </c>
      <c r="BR43" s="46">
        <v>0</v>
      </c>
      <c r="BS43" s="46">
        <v>0</v>
      </c>
      <c r="BT43" s="46">
        <v>0</v>
      </c>
      <c r="BU43" s="836">
        <f t="shared" si="85"/>
        <v>0</v>
      </c>
      <c r="BV43" s="712">
        <v>164</v>
      </c>
      <c r="BW43" s="46">
        <v>21.1</v>
      </c>
      <c r="BX43" s="46">
        <v>13.6</v>
      </c>
      <c r="BY43" s="46">
        <v>0</v>
      </c>
      <c r="BZ43" s="836">
        <f t="shared" si="86"/>
        <v>198.7</v>
      </c>
      <c r="CA43" s="712">
        <v>0</v>
      </c>
      <c r="CB43" s="46"/>
      <c r="CC43" s="46"/>
      <c r="CD43" s="46"/>
      <c r="CE43" s="836">
        <f t="shared" si="87"/>
        <v>0</v>
      </c>
      <c r="CF43" s="378"/>
      <c r="CG43" s="714"/>
      <c r="CH43" s="714"/>
    </row>
    <row r="44" spans="1:16357" s="51" customFormat="1" ht="20.149999999999999" customHeight="1">
      <c r="A44" s="868" t="s">
        <v>806</v>
      </c>
      <c r="B44" s="868" t="s">
        <v>812</v>
      </c>
      <c r="C44" s="46"/>
      <c r="D44" s="110"/>
      <c r="E44" s="110"/>
      <c r="F44" s="110"/>
      <c r="G44" s="836"/>
      <c r="H44" s="46"/>
      <c r="I44" s="110"/>
      <c r="J44" s="110"/>
      <c r="K44" s="110"/>
      <c r="L44" s="836"/>
      <c r="M44" s="46"/>
      <c r="N44" s="110"/>
      <c r="O44" s="110"/>
      <c r="P44" s="110"/>
      <c r="Q44" s="836"/>
      <c r="R44" s="46"/>
      <c r="S44" s="110"/>
      <c r="T44" s="110"/>
      <c r="U44" s="110"/>
      <c r="V44" s="836"/>
      <c r="W44" s="46"/>
      <c r="X44" s="110"/>
      <c r="Y44" s="111"/>
      <c r="Z44" s="111"/>
      <c r="AA44" s="836"/>
      <c r="AB44" s="46"/>
      <c r="AC44" s="110"/>
      <c r="AD44" s="110"/>
      <c r="AE44" s="110"/>
      <c r="AF44" s="836"/>
      <c r="AG44" s="46"/>
      <c r="AH44" s="110"/>
      <c r="AI44" s="110"/>
      <c r="AJ44" s="111"/>
      <c r="AK44" s="836"/>
      <c r="AL44" s="855"/>
      <c r="AM44" s="110"/>
      <c r="AN44" s="110"/>
      <c r="AO44" s="110"/>
      <c r="AP44" s="111"/>
      <c r="AQ44" s="836"/>
      <c r="AR44" s="46"/>
      <c r="AS44" s="110"/>
      <c r="AT44" s="110"/>
      <c r="AU44" s="110"/>
      <c r="AV44" s="836"/>
      <c r="AW44" s="46"/>
      <c r="AX44" s="110"/>
      <c r="AY44" s="110"/>
      <c r="AZ44" s="110"/>
      <c r="BA44" s="836"/>
      <c r="BB44" s="46"/>
      <c r="BC44" s="53"/>
      <c r="BD44" s="53"/>
      <c r="BE44" s="53"/>
      <c r="BF44" s="836"/>
      <c r="BG44" s="46"/>
      <c r="BH44" s="93"/>
      <c r="BI44" s="93"/>
      <c r="BJ44" s="93"/>
      <c r="BK44" s="836"/>
      <c r="BL44" s="46"/>
      <c r="BM44" s="46"/>
      <c r="BN44" s="46"/>
      <c r="BO44" s="53"/>
      <c r="BP44" s="836"/>
      <c r="BQ44" s="712">
        <v>0</v>
      </c>
      <c r="BR44" s="46">
        <v>0</v>
      </c>
      <c r="BS44" s="46">
        <v>0</v>
      </c>
      <c r="BT44" s="46">
        <v>0</v>
      </c>
      <c r="BU44" s="836">
        <f t="shared" si="85"/>
        <v>0</v>
      </c>
      <c r="BV44" s="712">
        <v>0</v>
      </c>
      <c r="BW44" s="46">
        <v>0</v>
      </c>
      <c r="BX44" s="46">
        <v>-30</v>
      </c>
      <c r="BY44" s="46">
        <v>-41</v>
      </c>
      <c r="BZ44" s="836">
        <f t="shared" si="86"/>
        <v>-71</v>
      </c>
      <c r="CA44" s="712">
        <v>0</v>
      </c>
      <c r="CB44" s="46"/>
      <c r="CC44" s="46"/>
      <c r="CD44" s="46"/>
      <c r="CE44" s="836">
        <f t="shared" si="87"/>
        <v>0</v>
      </c>
      <c r="CF44" s="378"/>
      <c r="CG44" s="714"/>
      <c r="CH44" s="714"/>
    </row>
    <row r="45" spans="1:16357" s="378" customFormat="1" ht="22.5" customHeight="1">
      <c r="A45" s="872" t="s">
        <v>96</v>
      </c>
      <c r="B45" s="872" t="s">
        <v>808</v>
      </c>
      <c r="C45" s="876"/>
      <c r="D45" s="876"/>
      <c r="E45" s="876"/>
      <c r="F45" s="876"/>
      <c r="G45" s="889"/>
      <c r="H45" s="876"/>
      <c r="I45" s="876"/>
      <c r="J45" s="876"/>
      <c r="K45" s="876"/>
      <c r="L45" s="889"/>
      <c r="M45" s="876"/>
      <c r="N45" s="876"/>
      <c r="O45" s="876"/>
      <c r="P45" s="876"/>
      <c r="Q45" s="889"/>
      <c r="R45" s="876"/>
      <c r="S45" s="876"/>
      <c r="T45" s="876"/>
      <c r="U45" s="876"/>
      <c r="V45" s="889"/>
      <c r="W45" s="876"/>
      <c r="X45" s="876"/>
      <c r="Y45" s="895"/>
      <c r="Z45" s="895"/>
      <c r="AA45" s="889"/>
      <c r="AB45" s="876"/>
      <c r="AC45" s="876"/>
      <c r="AD45" s="876"/>
      <c r="AE45" s="876"/>
      <c r="AF45" s="889"/>
      <c r="AG45" s="876"/>
      <c r="AH45" s="876"/>
      <c r="AI45" s="876"/>
      <c r="AJ45" s="874"/>
      <c r="AK45" s="889"/>
      <c r="AL45" s="846"/>
      <c r="AM45" s="888"/>
      <c r="AN45" s="876"/>
      <c r="AO45" s="876"/>
      <c r="AP45" s="874"/>
      <c r="AQ45" s="889"/>
      <c r="AR45" s="876"/>
      <c r="AS45" s="876"/>
      <c r="AT45" s="876"/>
      <c r="AU45" s="876"/>
      <c r="AV45" s="889"/>
      <c r="AW45" s="876"/>
      <c r="AX45" s="876"/>
      <c r="AY45" s="876"/>
      <c r="AZ45" s="876"/>
      <c r="BA45" s="889"/>
      <c r="BB45" s="876"/>
      <c r="BC45" s="876"/>
      <c r="BD45" s="876"/>
      <c r="BE45" s="876"/>
      <c r="BF45" s="889"/>
      <c r="BG45" s="876"/>
      <c r="BH45" s="876"/>
      <c r="BI45" s="876"/>
      <c r="BJ45" s="876"/>
      <c r="BK45" s="889"/>
      <c r="BL45" s="876"/>
      <c r="BM45" s="876"/>
      <c r="BN45" s="876"/>
      <c r="BO45" s="876"/>
      <c r="BP45" s="889"/>
      <c r="BQ45" s="890">
        <f>BQ38-SUM(BQ40:BQ44)</f>
        <v>761.2000000000005</v>
      </c>
      <c r="BR45" s="876">
        <f t="shared" ref="BR45:BT45" si="88">BR38-SUM(BR40:BR44)</f>
        <v>798.50000000000023</v>
      </c>
      <c r="BS45" s="876">
        <f t="shared" si="88"/>
        <v>774.70000000000039</v>
      </c>
      <c r="BT45" s="876">
        <f t="shared" si="88"/>
        <v>677.10000000000014</v>
      </c>
      <c r="BU45" s="889">
        <f>SUM(BQ45:BT45)</f>
        <v>3011.5000000000009</v>
      </c>
      <c r="BV45" s="890">
        <f>BV38-SUM(BV40:BV44)</f>
        <v>772.29862972000103</v>
      </c>
      <c r="BW45" s="876">
        <f t="shared" ref="BW45" si="89">BW38-SUM(BW40:BW44)</f>
        <v>843.90000000000043</v>
      </c>
      <c r="BX45" s="876">
        <f t="shared" ref="BX45" si="90">BX38-SUM(BX40:BX44)</f>
        <v>902.79999999999973</v>
      </c>
      <c r="BY45" s="876">
        <f t="shared" ref="BY45" si="91">BY38-SUM(BY40:BY44)</f>
        <v>780.89999999999986</v>
      </c>
      <c r="BZ45" s="889">
        <f>SUM(BV45:BY45)</f>
        <v>3299.8986297200008</v>
      </c>
      <c r="CA45" s="876">
        <f>CA38-SUM(CA40:CA44)</f>
        <v>809.3000000000003</v>
      </c>
      <c r="CB45" s="876"/>
      <c r="CC45" s="876"/>
      <c r="CD45" s="876"/>
      <c r="CE45" s="889">
        <f>SUM(CA45:CD45)</f>
        <v>809.3000000000003</v>
      </c>
      <c r="CG45" s="714"/>
      <c r="CH45" s="714"/>
    </row>
    <row r="46" spans="1:16357" s="378" customFormat="1" ht="22.5" customHeight="1">
      <c r="A46" s="896" t="s">
        <v>97</v>
      </c>
      <c r="B46" s="896" t="s">
        <v>809</v>
      </c>
      <c r="C46" s="892"/>
      <c r="D46" s="892"/>
      <c r="E46" s="892"/>
      <c r="F46" s="892"/>
      <c r="G46" s="893"/>
      <c r="H46" s="892"/>
      <c r="I46" s="892"/>
      <c r="J46" s="892"/>
      <c r="K46" s="892"/>
      <c r="L46" s="893"/>
      <c r="M46" s="892"/>
      <c r="N46" s="892"/>
      <c r="O46" s="892"/>
      <c r="P46" s="892"/>
      <c r="Q46" s="893"/>
      <c r="R46" s="892"/>
      <c r="S46" s="892"/>
      <c r="T46" s="892"/>
      <c r="U46" s="892"/>
      <c r="V46" s="893"/>
      <c r="W46" s="892"/>
      <c r="X46" s="892"/>
      <c r="Y46" s="897"/>
      <c r="Z46" s="897"/>
      <c r="AA46" s="893"/>
      <c r="AB46" s="892"/>
      <c r="AC46" s="892"/>
      <c r="AD46" s="892"/>
      <c r="AE46" s="892"/>
      <c r="AF46" s="893"/>
      <c r="AG46" s="892"/>
      <c r="AH46" s="892"/>
      <c r="AI46" s="892"/>
      <c r="AJ46" s="892"/>
      <c r="AK46" s="893"/>
      <c r="AL46" s="854"/>
      <c r="AM46" s="891"/>
      <c r="AN46" s="892"/>
      <c r="AO46" s="892"/>
      <c r="AP46" s="892"/>
      <c r="AQ46" s="893"/>
      <c r="AR46" s="892"/>
      <c r="AS46" s="892"/>
      <c r="AT46" s="892"/>
      <c r="AU46" s="892"/>
      <c r="AV46" s="893"/>
      <c r="AW46" s="892"/>
      <c r="AX46" s="892"/>
      <c r="AY46" s="892"/>
      <c r="AZ46" s="892"/>
      <c r="BA46" s="893"/>
      <c r="BB46" s="892"/>
      <c r="BC46" s="892"/>
      <c r="BD46" s="892"/>
      <c r="BE46" s="892"/>
      <c r="BF46" s="893"/>
      <c r="BG46" s="892"/>
      <c r="BH46" s="892"/>
      <c r="BI46" s="892"/>
      <c r="BJ46" s="892"/>
      <c r="BK46" s="893"/>
      <c r="BL46" s="892"/>
      <c r="BM46" s="892"/>
      <c r="BN46" s="892"/>
      <c r="BO46" s="892"/>
      <c r="BP46" s="893"/>
      <c r="BQ46" s="894"/>
      <c r="BR46" s="892"/>
      <c r="BS46" s="892"/>
      <c r="BT46" s="892"/>
      <c r="BU46" s="893"/>
      <c r="BV46" s="894">
        <f t="shared" ref="BV46:CA46" si="92">BV45/BV5</f>
        <v>0.22681319838989439</v>
      </c>
      <c r="BW46" s="894">
        <f t="shared" si="92"/>
        <v>0.24430420056161894</v>
      </c>
      <c r="BX46" s="894">
        <f t="shared" si="92"/>
        <v>0.25221399636820779</v>
      </c>
      <c r="BY46" s="892">
        <f>BY45/BY5</f>
        <v>0.20404483812808652</v>
      </c>
      <c r="BZ46" s="893">
        <f t="shared" si="92"/>
        <v>0.23131375845089461</v>
      </c>
      <c r="CA46" s="894">
        <f t="shared" si="92"/>
        <v>0.22925046739561505</v>
      </c>
      <c r="CB46" s="894"/>
      <c r="CC46" s="894"/>
      <c r="CD46" s="892"/>
      <c r="CE46" s="893">
        <f>CE45/CE5</f>
        <v>0.22925046739561505</v>
      </c>
      <c r="CG46" s="714"/>
      <c r="CH46" s="714"/>
    </row>
    <row r="47" spans="1:16357" ht="15" customHeight="1">
      <c r="U47" s="6"/>
      <c r="V47" s="6"/>
      <c r="W47" s="6"/>
      <c r="X47" s="6"/>
      <c r="Y47" s="38"/>
      <c r="Z47" s="6"/>
      <c r="AA47" s="6"/>
      <c r="AB47" s="6"/>
      <c r="AC47" s="6"/>
      <c r="AD47" s="38"/>
      <c r="AE47" s="6"/>
      <c r="AF47" s="6"/>
      <c r="AG47" s="6"/>
      <c r="AH47" s="6"/>
      <c r="AI47" s="38"/>
      <c r="AJ47" s="6"/>
      <c r="AK47" s="89"/>
      <c r="AL47" s="5"/>
      <c r="AM47" s="6"/>
      <c r="AN47" s="68"/>
      <c r="AO47" s="38"/>
      <c r="AP47" s="6"/>
      <c r="AQ47" s="68"/>
      <c r="AR47" s="6"/>
      <c r="AS47" s="68"/>
      <c r="AT47" s="38"/>
      <c r="AU47" s="6"/>
      <c r="AV47" s="68"/>
      <c r="AW47" s="6"/>
      <c r="AX47" s="68"/>
      <c r="AY47" s="38"/>
      <c r="AZ47" s="6"/>
      <c r="BA47" s="68"/>
      <c r="BB47" s="6"/>
      <c r="BC47" s="68"/>
      <c r="BD47" s="38"/>
      <c r="BE47" s="6"/>
      <c r="BF47" s="633"/>
      <c r="BG47" s="761"/>
      <c r="BH47" s="761"/>
      <c r="BI47" s="761"/>
      <c r="BJ47" s="761"/>
      <c r="BK47" s="628"/>
      <c r="BL47" s="761"/>
      <c r="BM47" s="761"/>
      <c r="BN47" s="761"/>
      <c r="BO47" s="761"/>
      <c r="BP47" s="761"/>
      <c r="BQ47" s="761"/>
      <c r="BR47" s="761"/>
      <c r="BS47" s="761"/>
      <c r="BT47" s="6"/>
      <c r="BU47" s="661"/>
      <c r="BV47" s="764"/>
      <c r="BW47" s="764"/>
      <c r="BX47" s="769"/>
      <c r="BY47" s="714"/>
      <c r="BZ47" s="714"/>
      <c r="CA47" s="764"/>
      <c r="CB47" s="764"/>
      <c r="CC47" s="769"/>
      <c r="CD47" s="714"/>
      <c r="CE47" s="714"/>
      <c r="CF47" s="378"/>
      <c r="CG47" s="714"/>
      <c r="CH47" s="714"/>
    </row>
    <row r="48" spans="1:16357" ht="23.25" customHeight="1">
      <c r="A48" s="97" t="s">
        <v>98</v>
      </c>
      <c r="B48" s="101" t="s">
        <v>99</v>
      </c>
      <c r="C48" s="100"/>
      <c r="D48" s="100"/>
      <c r="E48" s="100"/>
      <c r="F48" s="100"/>
      <c r="G48" s="100"/>
      <c r="H48" s="100"/>
      <c r="I48" s="100"/>
      <c r="J48" s="100"/>
      <c r="K48" s="100"/>
      <c r="L48" s="100"/>
      <c r="M48" s="100"/>
      <c r="N48" s="100"/>
      <c r="O48" s="97"/>
      <c r="P48" s="97"/>
      <c r="Q48" s="97"/>
      <c r="R48" s="97"/>
      <c r="S48" s="952"/>
      <c r="T48" s="952"/>
      <c r="U48" s="952"/>
      <c r="V48" s="952"/>
      <c r="W48" s="952"/>
      <c r="X48" s="952"/>
      <c r="Y48" s="952"/>
      <c r="Z48" s="952"/>
      <c r="AA48" s="952"/>
      <c r="AB48" s="952"/>
      <c r="AC48" s="952"/>
      <c r="AD48" s="952"/>
      <c r="AE48" s="952"/>
      <c r="AF48" s="952"/>
      <c r="AG48" s="952"/>
      <c r="AH48" s="7"/>
      <c r="AI48" s="35"/>
      <c r="AJ48" s="7"/>
      <c r="AK48" s="90"/>
      <c r="AL48" s="5"/>
      <c r="AM48" s="7"/>
      <c r="AN48" s="7"/>
      <c r="AO48" s="35"/>
      <c r="AP48" s="7"/>
      <c r="AQ48" s="7"/>
      <c r="AR48" s="7"/>
      <c r="AS48" s="7"/>
      <c r="AT48" s="35"/>
      <c r="AU48" s="7"/>
      <c r="AV48" s="7"/>
      <c r="AW48" s="7"/>
      <c r="AX48" s="952"/>
      <c r="AY48" s="952"/>
      <c r="AZ48" s="952"/>
      <c r="BA48" s="952"/>
      <c r="BB48" s="952"/>
      <c r="BC48" s="952"/>
      <c r="BD48" s="952"/>
      <c r="BE48" s="952"/>
      <c r="BF48" s="952"/>
      <c r="BG48" s="952"/>
      <c r="BH48" s="952"/>
      <c r="BI48" s="952"/>
      <c r="BJ48" s="952"/>
      <c r="BK48" s="952"/>
      <c r="BL48" s="952"/>
      <c r="BM48" s="952"/>
      <c r="BN48" s="952"/>
      <c r="BO48" s="952"/>
      <c r="BP48" s="952"/>
      <c r="BQ48" s="952"/>
      <c r="BR48" s="952"/>
      <c r="BS48" s="952"/>
      <c r="BT48" s="952"/>
      <c r="BU48" s="952"/>
      <c r="BY48" s="952"/>
      <c r="BZ48" s="952"/>
      <c r="CA48" s="952"/>
      <c r="CB48" s="952"/>
      <c r="CC48" s="952"/>
      <c r="CD48" s="952"/>
      <c r="CE48" s="952"/>
      <c r="CF48" s="952"/>
      <c r="CG48" s="952"/>
      <c r="CH48" s="952"/>
      <c r="CI48" s="952"/>
      <c r="CJ48" s="952"/>
      <c r="CK48" s="952"/>
      <c r="CL48" s="952"/>
      <c r="CM48" s="952"/>
      <c r="CN48" s="952"/>
      <c r="CO48" s="952"/>
      <c r="CP48" s="952"/>
      <c r="CQ48" s="952"/>
      <c r="CR48" s="952"/>
      <c r="CS48" s="952"/>
      <c r="CT48" s="952"/>
      <c r="CU48" s="952"/>
      <c r="CV48" s="952"/>
      <c r="CW48" s="952"/>
      <c r="CX48" s="952"/>
      <c r="CY48" s="952"/>
      <c r="CZ48" s="952"/>
      <c r="DA48" s="952"/>
      <c r="DB48" s="952"/>
      <c r="DC48" s="952"/>
      <c r="DD48" s="952"/>
      <c r="DE48" s="952"/>
      <c r="DF48" s="952"/>
      <c r="DG48" s="952"/>
      <c r="DH48" s="952"/>
      <c r="DI48" s="952"/>
      <c r="DJ48" s="952"/>
      <c r="DK48" s="952"/>
      <c r="DL48" s="952"/>
      <c r="DM48" s="952"/>
      <c r="DN48" s="952"/>
      <c r="DO48" s="952"/>
      <c r="DP48" s="952"/>
      <c r="DQ48" s="952"/>
      <c r="DR48" s="952"/>
      <c r="DS48" s="952"/>
      <c r="DT48" s="952"/>
      <c r="DU48" s="952"/>
      <c r="DV48" s="952"/>
      <c r="DW48" s="952"/>
      <c r="DX48" s="952"/>
      <c r="DY48" s="952"/>
      <c r="DZ48" s="952"/>
      <c r="EA48" s="952"/>
      <c r="EB48" s="952"/>
      <c r="EC48" s="952"/>
      <c r="ED48" s="952"/>
      <c r="EE48" s="952"/>
      <c r="EF48" s="952"/>
      <c r="EG48" s="952"/>
      <c r="EH48" s="952"/>
      <c r="EI48" s="952"/>
      <c r="EJ48" s="952"/>
      <c r="EK48" s="952"/>
      <c r="EL48" s="952"/>
      <c r="EM48" s="952"/>
      <c r="EN48" s="952"/>
      <c r="EO48" s="952"/>
      <c r="EP48" s="952"/>
      <c r="EQ48" s="952"/>
      <c r="ER48" s="952"/>
      <c r="ES48" s="952"/>
      <c r="ET48" s="952"/>
      <c r="EU48" s="952"/>
      <c r="EV48" s="952"/>
      <c r="EW48" s="952"/>
      <c r="EX48" s="952"/>
      <c r="EY48" s="952"/>
      <c r="EZ48" s="952"/>
      <c r="FA48" s="952"/>
      <c r="FB48" s="952"/>
      <c r="FC48" s="952"/>
      <c r="FD48" s="952"/>
      <c r="FE48" s="952"/>
      <c r="FF48" s="952"/>
      <c r="FG48" s="952"/>
      <c r="FH48" s="952"/>
      <c r="FI48" s="952"/>
      <c r="FJ48" s="952"/>
      <c r="FK48" s="952"/>
      <c r="FL48" s="952"/>
      <c r="FM48" s="952"/>
      <c r="FN48" s="952"/>
      <c r="FO48" s="952"/>
      <c r="FP48" s="952"/>
      <c r="FQ48" s="952"/>
      <c r="FR48" s="952"/>
      <c r="FS48" s="952"/>
      <c r="FT48" s="952"/>
      <c r="FU48" s="952"/>
      <c r="FV48" s="952"/>
      <c r="FW48" s="952"/>
      <c r="FX48" s="952"/>
      <c r="FY48" s="952"/>
      <c r="FZ48" s="952"/>
      <c r="GA48" s="952"/>
      <c r="GB48" s="952"/>
      <c r="GC48" s="952"/>
      <c r="GD48" s="952"/>
      <c r="GE48" s="952"/>
      <c r="GF48" s="952"/>
      <c r="GG48" s="952"/>
      <c r="GH48" s="952"/>
      <c r="GI48" s="952"/>
      <c r="GJ48" s="952"/>
      <c r="GK48" s="952"/>
      <c r="GL48" s="952"/>
      <c r="GM48" s="952"/>
      <c r="GN48" s="952"/>
      <c r="GO48" s="952"/>
      <c r="GP48" s="952"/>
      <c r="GQ48" s="952"/>
      <c r="GR48" s="952"/>
      <c r="GS48" s="952"/>
      <c r="GT48" s="952"/>
      <c r="GU48" s="952"/>
      <c r="GV48" s="952"/>
      <c r="GW48" s="952"/>
      <c r="GX48" s="952"/>
      <c r="GY48" s="952"/>
      <c r="GZ48" s="952"/>
      <c r="HA48" s="952"/>
      <c r="HB48" s="952"/>
      <c r="HC48" s="952"/>
      <c r="HD48" s="952"/>
      <c r="HE48" s="952"/>
      <c r="HF48" s="952"/>
      <c r="HG48" s="952"/>
      <c r="HH48" s="952"/>
      <c r="HI48" s="952"/>
      <c r="HJ48" s="952"/>
      <c r="HK48" s="952"/>
      <c r="HL48" s="952"/>
      <c r="HM48" s="952"/>
      <c r="HN48" s="952"/>
      <c r="HO48" s="952"/>
      <c r="HP48" s="952"/>
      <c r="HQ48" s="952"/>
      <c r="HR48" s="952"/>
      <c r="HS48" s="952"/>
      <c r="HT48" s="952"/>
      <c r="HU48" s="952"/>
      <c r="HV48" s="952"/>
      <c r="HW48" s="952"/>
      <c r="HX48" s="952"/>
      <c r="HY48" s="952"/>
      <c r="HZ48" s="952"/>
      <c r="IA48" s="952"/>
      <c r="IB48" s="952"/>
      <c r="IC48" s="952"/>
      <c r="ID48" s="952"/>
      <c r="IE48" s="952"/>
      <c r="IF48" s="952"/>
      <c r="IG48" s="952"/>
      <c r="IH48" s="952"/>
      <c r="II48" s="952"/>
      <c r="IJ48" s="952"/>
      <c r="IK48" s="952"/>
      <c r="IL48" s="952"/>
      <c r="IM48" s="952"/>
      <c r="IN48" s="952"/>
      <c r="IO48" s="952"/>
      <c r="IP48" s="952"/>
      <c r="IQ48" s="952"/>
      <c r="IR48" s="952"/>
      <c r="IS48" s="952"/>
      <c r="IT48" s="952"/>
      <c r="IU48" s="952"/>
      <c r="IV48" s="952"/>
      <c r="IW48" s="952"/>
      <c r="IX48" s="952"/>
      <c r="IY48" s="952"/>
      <c r="IZ48" s="952"/>
      <c r="JA48" s="952"/>
      <c r="JB48" s="952"/>
      <c r="JC48" s="952"/>
      <c r="JD48" s="952"/>
      <c r="JE48" s="952"/>
      <c r="JF48" s="952"/>
      <c r="JG48" s="952"/>
      <c r="JH48" s="952"/>
      <c r="JI48" s="952"/>
      <c r="JJ48" s="952"/>
      <c r="JK48" s="952"/>
      <c r="JL48" s="952"/>
      <c r="JM48" s="952"/>
      <c r="JN48" s="952"/>
      <c r="JO48" s="952"/>
      <c r="JP48" s="952"/>
      <c r="JQ48" s="952"/>
      <c r="JR48" s="952"/>
      <c r="JS48" s="952"/>
      <c r="JT48" s="952"/>
      <c r="JU48" s="952"/>
      <c r="JV48" s="952"/>
      <c r="JW48" s="952"/>
      <c r="JX48" s="952"/>
      <c r="JY48" s="952"/>
      <c r="JZ48" s="952"/>
      <c r="KA48" s="952"/>
      <c r="KB48" s="952"/>
      <c r="KC48" s="952"/>
      <c r="KD48" s="952"/>
      <c r="KE48" s="952"/>
      <c r="KF48" s="952"/>
      <c r="KG48" s="952"/>
      <c r="KH48" s="952"/>
      <c r="KI48" s="952"/>
      <c r="KJ48" s="952"/>
      <c r="KK48" s="952"/>
      <c r="KL48" s="952"/>
      <c r="KM48" s="952"/>
      <c r="KN48" s="952"/>
      <c r="KO48" s="952"/>
      <c r="KP48" s="952"/>
      <c r="KQ48" s="952"/>
      <c r="KR48" s="952"/>
      <c r="KS48" s="952"/>
      <c r="KT48" s="952"/>
      <c r="KU48" s="952"/>
      <c r="KV48" s="952"/>
      <c r="KW48" s="952"/>
      <c r="KX48" s="952"/>
      <c r="KY48" s="952"/>
      <c r="KZ48" s="952"/>
      <c r="LA48" s="952"/>
      <c r="LB48" s="952"/>
      <c r="LC48" s="952"/>
      <c r="LD48" s="952"/>
      <c r="LE48" s="952"/>
      <c r="LF48" s="952"/>
      <c r="LG48" s="952"/>
      <c r="LH48" s="952"/>
      <c r="LI48" s="952"/>
      <c r="LJ48" s="952"/>
      <c r="LK48" s="952"/>
      <c r="LL48" s="952"/>
      <c r="LM48" s="952"/>
      <c r="LN48" s="952"/>
      <c r="LO48" s="952"/>
      <c r="LP48" s="952"/>
      <c r="LQ48" s="952"/>
      <c r="LR48" s="952"/>
      <c r="LS48" s="952"/>
      <c r="LT48" s="952"/>
      <c r="LU48" s="952"/>
      <c r="LV48" s="952"/>
      <c r="LW48" s="952"/>
      <c r="LX48" s="952"/>
      <c r="LY48" s="952"/>
      <c r="LZ48" s="952"/>
      <c r="MA48" s="952"/>
      <c r="MB48" s="952"/>
      <c r="MC48" s="952"/>
      <c r="MD48" s="952"/>
      <c r="ME48" s="952"/>
      <c r="MF48" s="952"/>
      <c r="MG48" s="952"/>
      <c r="MH48" s="952"/>
      <c r="MI48" s="952"/>
      <c r="MJ48" s="952"/>
      <c r="MK48" s="952"/>
      <c r="ML48" s="952"/>
      <c r="MM48" s="952"/>
      <c r="MN48" s="952"/>
      <c r="MO48" s="952"/>
      <c r="MP48" s="952"/>
      <c r="MQ48" s="952"/>
      <c r="MR48" s="952"/>
      <c r="MS48" s="952"/>
      <c r="MT48" s="952"/>
      <c r="MU48" s="952"/>
      <c r="MV48" s="952"/>
      <c r="MW48" s="952"/>
      <c r="MX48" s="952"/>
      <c r="MY48" s="952"/>
      <c r="MZ48" s="952"/>
      <c r="NA48" s="952"/>
      <c r="NB48" s="952"/>
      <c r="NC48" s="952"/>
      <c r="ND48" s="952"/>
      <c r="NE48" s="952"/>
      <c r="NF48" s="952"/>
      <c r="NG48" s="952"/>
      <c r="NH48" s="952"/>
      <c r="NI48" s="952"/>
      <c r="NJ48" s="952"/>
      <c r="NK48" s="952"/>
      <c r="NL48" s="952"/>
      <c r="NM48" s="952"/>
      <c r="NN48" s="952"/>
      <c r="NO48" s="952"/>
      <c r="NP48" s="952"/>
      <c r="NQ48" s="952"/>
      <c r="NR48" s="952"/>
      <c r="NS48" s="952"/>
      <c r="NT48" s="952"/>
      <c r="NU48" s="952"/>
      <c r="NV48" s="952"/>
      <c r="NW48" s="952"/>
      <c r="NX48" s="952"/>
      <c r="NY48" s="952"/>
      <c r="NZ48" s="952"/>
      <c r="OA48" s="952"/>
      <c r="OB48" s="952"/>
      <c r="OC48" s="952"/>
      <c r="OD48" s="952"/>
      <c r="OE48" s="952"/>
      <c r="OF48" s="952"/>
      <c r="OG48" s="952"/>
      <c r="OH48" s="952"/>
      <c r="OI48" s="952"/>
      <c r="OJ48" s="952"/>
      <c r="OK48" s="952"/>
      <c r="OL48" s="952"/>
      <c r="OM48" s="952"/>
      <c r="ON48" s="952"/>
      <c r="OO48" s="952"/>
      <c r="OP48" s="952"/>
      <c r="OQ48" s="952"/>
      <c r="OR48" s="952"/>
      <c r="OS48" s="952"/>
      <c r="OT48" s="952"/>
      <c r="OU48" s="952"/>
      <c r="OV48" s="952"/>
      <c r="OW48" s="952"/>
      <c r="OX48" s="952"/>
      <c r="OY48" s="952"/>
      <c r="OZ48" s="952"/>
      <c r="PA48" s="952"/>
      <c r="PB48" s="952"/>
      <c r="PC48" s="952"/>
      <c r="PD48" s="952"/>
      <c r="PE48" s="952"/>
      <c r="PF48" s="952"/>
      <c r="PG48" s="952"/>
      <c r="PH48" s="952"/>
      <c r="PI48" s="952"/>
      <c r="PJ48" s="952"/>
      <c r="PK48" s="952"/>
      <c r="PL48" s="952"/>
      <c r="PM48" s="952"/>
      <c r="PN48" s="952"/>
      <c r="PO48" s="952"/>
      <c r="PP48" s="952"/>
      <c r="PQ48" s="952"/>
      <c r="PR48" s="952"/>
      <c r="PS48" s="952"/>
      <c r="PT48" s="952"/>
      <c r="PU48" s="952"/>
      <c r="PV48" s="952"/>
      <c r="PW48" s="952"/>
      <c r="PX48" s="952"/>
      <c r="PY48" s="952"/>
      <c r="PZ48" s="952"/>
      <c r="QA48" s="952"/>
      <c r="QB48" s="952"/>
      <c r="QC48" s="952"/>
      <c r="QD48" s="952"/>
      <c r="QE48" s="952"/>
      <c r="QF48" s="952"/>
      <c r="QG48" s="952"/>
      <c r="QH48" s="952"/>
      <c r="QI48" s="952"/>
      <c r="QJ48" s="952"/>
      <c r="QK48" s="952"/>
      <c r="QL48" s="952"/>
      <c r="QM48" s="952"/>
      <c r="QN48" s="952"/>
      <c r="QO48" s="952"/>
      <c r="QP48" s="952"/>
      <c r="QQ48" s="952"/>
      <c r="QR48" s="952"/>
      <c r="QS48" s="952"/>
      <c r="QT48" s="952"/>
      <c r="QU48" s="952"/>
      <c r="QV48" s="952"/>
      <c r="QW48" s="952"/>
      <c r="QX48" s="952"/>
      <c r="QY48" s="952"/>
      <c r="QZ48" s="952"/>
      <c r="RA48" s="952"/>
      <c r="RB48" s="952"/>
      <c r="RC48" s="952"/>
      <c r="RD48" s="952"/>
      <c r="RE48" s="952"/>
      <c r="RF48" s="952"/>
      <c r="RG48" s="952"/>
      <c r="RH48" s="952"/>
      <c r="RI48" s="952"/>
      <c r="RJ48" s="952"/>
      <c r="RK48" s="952"/>
      <c r="RL48" s="952"/>
      <c r="RM48" s="952"/>
      <c r="RN48" s="952"/>
      <c r="RO48" s="952"/>
      <c r="RP48" s="952"/>
      <c r="RQ48" s="952"/>
      <c r="RR48" s="952"/>
      <c r="RS48" s="952"/>
      <c r="RT48" s="952"/>
      <c r="RU48" s="952"/>
      <c r="RV48" s="952"/>
      <c r="RW48" s="952"/>
      <c r="RX48" s="952"/>
      <c r="RY48" s="952"/>
      <c r="RZ48" s="952"/>
      <c r="SA48" s="952"/>
      <c r="SB48" s="952"/>
      <c r="SC48" s="952"/>
      <c r="SD48" s="952"/>
      <c r="SE48" s="952"/>
      <c r="SF48" s="952"/>
      <c r="SG48" s="952"/>
      <c r="SH48" s="952"/>
      <c r="SI48" s="952"/>
      <c r="SJ48" s="952"/>
      <c r="SK48" s="952"/>
      <c r="SL48" s="952"/>
      <c r="SM48" s="952"/>
      <c r="SN48" s="952"/>
      <c r="SO48" s="952"/>
      <c r="SP48" s="952"/>
      <c r="SQ48" s="952"/>
      <c r="SR48" s="952"/>
      <c r="SS48" s="952"/>
      <c r="ST48" s="952"/>
      <c r="SU48" s="952"/>
      <c r="SV48" s="952"/>
      <c r="SW48" s="952"/>
      <c r="SX48" s="952"/>
      <c r="SY48" s="952"/>
      <c r="SZ48" s="952"/>
      <c r="TA48" s="952"/>
      <c r="TB48" s="952"/>
      <c r="TC48" s="952"/>
      <c r="TD48" s="952"/>
      <c r="TE48" s="952"/>
      <c r="TF48" s="952"/>
      <c r="TG48" s="952"/>
      <c r="TH48" s="952"/>
      <c r="TI48" s="952"/>
      <c r="TJ48" s="952"/>
      <c r="TK48" s="952"/>
      <c r="TL48" s="952"/>
      <c r="TM48" s="952"/>
      <c r="TN48" s="952"/>
      <c r="TO48" s="952"/>
      <c r="TP48" s="952"/>
      <c r="TQ48" s="952"/>
      <c r="TR48" s="952"/>
      <c r="TS48" s="952"/>
      <c r="TT48" s="952"/>
      <c r="TU48" s="952"/>
      <c r="TV48" s="952"/>
      <c r="TW48" s="952"/>
      <c r="TX48" s="952"/>
      <c r="TY48" s="952"/>
      <c r="TZ48" s="952"/>
      <c r="UA48" s="952"/>
      <c r="UB48" s="952"/>
      <c r="UC48" s="952"/>
      <c r="UD48" s="952"/>
      <c r="UE48" s="952"/>
      <c r="UF48" s="952"/>
      <c r="UG48" s="952"/>
      <c r="UH48" s="952"/>
      <c r="UI48" s="952"/>
      <c r="UJ48" s="952"/>
      <c r="UK48" s="952"/>
      <c r="UL48" s="952"/>
      <c r="UM48" s="952"/>
      <c r="UN48" s="952"/>
      <c r="UO48" s="952"/>
      <c r="UP48" s="952"/>
      <c r="UQ48" s="952"/>
      <c r="UR48" s="952"/>
      <c r="US48" s="952"/>
      <c r="UT48" s="952"/>
      <c r="UU48" s="952"/>
      <c r="UV48" s="952"/>
      <c r="UW48" s="952"/>
      <c r="UX48" s="952"/>
      <c r="UY48" s="952"/>
      <c r="UZ48" s="952"/>
      <c r="VA48" s="952"/>
      <c r="VB48" s="952"/>
      <c r="VC48" s="952"/>
      <c r="VD48" s="952"/>
      <c r="VE48" s="952"/>
      <c r="VF48" s="952"/>
      <c r="VG48" s="952"/>
      <c r="VH48" s="952"/>
      <c r="VI48" s="952"/>
      <c r="VJ48" s="952"/>
      <c r="VK48" s="952"/>
      <c r="VL48" s="952"/>
      <c r="VM48" s="952"/>
      <c r="VN48" s="952"/>
      <c r="VO48" s="952"/>
      <c r="VP48" s="952"/>
      <c r="VQ48" s="952"/>
      <c r="VR48" s="952"/>
      <c r="VS48" s="952"/>
      <c r="VT48" s="952"/>
      <c r="VU48" s="952"/>
      <c r="VV48" s="952"/>
      <c r="VW48" s="952"/>
      <c r="VX48" s="952"/>
      <c r="VY48" s="952"/>
      <c r="VZ48" s="952"/>
      <c r="WA48" s="952"/>
      <c r="WB48" s="952"/>
      <c r="WC48" s="952"/>
      <c r="WD48" s="952"/>
      <c r="WE48" s="952"/>
      <c r="WF48" s="952"/>
      <c r="WG48" s="952"/>
      <c r="WH48" s="952"/>
      <c r="WI48" s="952"/>
      <c r="WJ48" s="952"/>
      <c r="WK48" s="952"/>
      <c r="WL48" s="952"/>
      <c r="WM48" s="952"/>
      <c r="WN48" s="952"/>
      <c r="WO48" s="952"/>
      <c r="WP48" s="952"/>
      <c r="WQ48" s="952"/>
      <c r="WR48" s="952"/>
      <c r="WS48" s="952"/>
      <c r="WT48" s="952"/>
      <c r="WU48" s="952"/>
      <c r="WV48" s="952"/>
      <c r="WW48" s="952"/>
      <c r="WX48" s="952"/>
      <c r="WY48" s="952"/>
      <c r="WZ48" s="952"/>
      <c r="XA48" s="952"/>
      <c r="XB48" s="952"/>
      <c r="XC48" s="952"/>
      <c r="XD48" s="952"/>
      <c r="XE48" s="952"/>
      <c r="XF48" s="952"/>
      <c r="XG48" s="952"/>
      <c r="XH48" s="952"/>
      <c r="XI48" s="952"/>
      <c r="XJ48" s="952"/>
      <c r="XK48" s="952"/>
      <c r="XL48" s="952"/>
      <c r="XM48" s="952"/>
      <c r="XN48" s="952"/>
      <c r="XO48" s="952"/>
      <c r="XP48" s="952"/>
      <c r="XQ48" s="952"/>
      <c r="XR48" s="952"/>
      <c r="XS48" s="952"/>
      <c r="XT48" s="952"/>
      <c r="XU48" s="952"/>
      <c r="XV48" s="952"/>
      <c r="XW48" s="952"/>
      <c r="XX48" s="952"/>
      <c r="XY48" s="952"/>
      <c r="XZ48" s="952"/>
      <c r="YA48" s="952"/>
      <c r="YB48" s="952"/>
      <c r="YC48" s="952"/>
      <c r="YD48" s="952"/>
      <c r="YE48" s="952"/>
      <c r="YF48" s="952"/>
      <c r="YG48" s="952"/>
      <c r="YH48" s="952"/>
      <c r="YI48" s="952"/>
      <c r="YJ48" s="952"/>
      <c r="YK48" s="952"/>
      <c r="YL48" s="952"/>
      <c r="YM48" s="952"/>
      <c r="YN48" s="952"/>
      <c r="YO48" s="952"/>
      <c r="YP48" s="952"/>
      <c r="YQ48" s="952"/>
      <c r="YR48" s="952"/>
      <c r="YS48" s="952"/>
      <c r="YT48" s="952"/>
      <c r="YU48" s="952"/>
      <c r="YV48" s="952"/>
      <c r="YW48" s="952"/>
      <c r="YX48" s="952"/>
      <c r="YY48" s="952"/>
      <c r="YZ48" s="952"/>
      <c r="ZA48" s="952"/>
      <c r="ZB48" s="952"/>
      <c r="ZC48" s="952"/>
      <c r="ZD48" s="952"/>
      <c r="ZE48" s="952"/>
      <c r="ZF48" s="952"/>
      <c r="ZG48" s="952"/>
      <c r="ZH48" s="952"/>
      <c r="ZI48" s="952"/>
      <c r="ZJ48" s="952"/>
      <c r="ZK48" s="952"/>
      <c r="ZL48" s="952"/>
      <c r="ZM48" s="952"/>
      <c r="ZN48" s="952"/>
      <c r="ZO48" s="952"/>
      <c r="ZP48" s="952"/>
      <c r="ZQ48" s="952"/>
      <c r="ZR48" s="952"/>
      <c r="ZS48" s="952"/>
      <c r="ZT48" s="952"/>
      <c r="ZU48" s="952"/>
      <c r="ZV48" s="952"/>
      <c r="ZW48" s="952"/>
      <c r="ZX48" s="952"/>
      <c r="ZY48" s="952"/>
      <c r="ZZ48" s="952"/>
      <c r="AAA48" s="952"/>
      <c r="AAB48" s="952"/>
      <c r="AAC48" s="952"/>
      <c r="AAD48" s="952"/>
      <c r="AAE48" s="952"/>
      <c r="AAF48" s="952"/>
      <c r="AAG48" s="952"/>
      <c r="AAH48" s="952"/>
      <c r="AAI48" s="952"/>
      <c r="AAJ48" s="952"/>
      <c r="AAK48" s="952"/>
      <c r="AAL48" s="952"/>
      <c r="AAM48" s="952"/>
      <c r="AAN48" s="952"/>
      <c r="AAO48" s="952"/>
      <c r="AAP48" s="952"/>
      <c r="AAQ48" s="952"/>
      <c r="AAR48" s="952"/>
      <c r="AAS48" s="952"/>
      <c r="AAT48" s="952"/>
      <c r="AAU48" s="952"/>
      <c r="AAV48" s="952"/>
      <c r="AAW48" s="952"/>
      <c r="AAX48" s="952"/>
      <c r="AAY48" s="952"/>
      <c r="AAZ48" s="952"/>
      <c r="ABA48" s="952"/>
      <c r="ABB48" s="952"/>
      <c r="ABC48" s="952"/>
      <c r="ABD48" s="952"/>
      <c r="ABE48" s="952"/>
      <c r="ABF48" s="952"/>
      <c r="ABG48" s="952"/>
      <c r="ABH48" s="952"/>
      <c r="ABI48" s="952"/>
      <c r="ABJ48" s="952"/>
      <c r="ABK48" s="952"/>
      <c r="ABL48" s="952"/>
      <c r="ABM48" s="952"/>
      <c r="ABN48" s="952"/>
      <c r="ABO48" s="952"/>
      <c r="ABP48" s="952"/>
      <c r="ABQ48" s="952"/>
      <c r="ABR48" s="952"/>
      <c r="ABS48" s="952"/>
      <c r="ABT48" s="952"/>
      <c r="ABU48" s="952"/>
      <c r="ABV48" s="952"/>
      <c r="ABW48" s="952"/>
      <c r="ABX48" s="952"/>
      <c r="ABY48" s="952"/>
      <c r="ABZ48" s="952"/>
      <c r="ACA48" s="952"/>
      <c r="ACB48" s="952"/>
      <c r="ACC48" s="952"/>
      <c r="ACD48" s="952"/>
      <c r="ACE48" s="952"/>
      <c r="ACF48" s="952"/>
      <c r="ACG48" s="952"/>
      <c r="ACH48" s="952"/>
      <c r="ACI48" s="952"/>
      <c r="ACJ48" s="952"/>
      <c r="ACK48" s="952"/>
      <c r="ACL48" s="952"/>
      <c r="ACM48" s="952"/>
      <c r="ACN48" s="952"/>
      <c r="ACO48" s="952"/>
      <c r="ACP48" s="952"/>
      <c r="ACQ48" s="952"/>
      <c r="ACR48" s="952"/>
      <c r="ACS48" s="952"/>
      <c r="ACT48" s="952"/>
      <c r="ACU48" s="952"/>
      <c r="ACV48" s="952"/>
      <c r="ACW48" s="952"/>
      <c r="ACX48" s="952"/>
      <c r="ACY48" s="952"/>
      <c r="ACZ48" s="952"/>
      <c r="ADA48" s="952"/>
      <c r="ADB48" s="952"/>
      <c r="ADC48" s="952"/>
      <c r="ADD48" s="952"/>
      <c r="ADE48" s="952"/>
      <c r="ADF48" s="952"/>
      <c r="ADG48" s="952"/>
      <c r="ADH48" s="952"/>
      <c r="ADI48" s="952"/>
      <c r="ADJ48" s="952"/>
      <c r="ADK48" s="952"/>
      <c r="ADL48" s="952"/>
      <c r="ADM48" s="952"/>
      <c r="ADN48" s="952"/>
      <c r="ADO48" s="952"/>
      <c r="ADP48" s="952"/>
      <c r="ADQ48" s="952"/>
      <c r="ADR48" s="952"/>
      <c r="ADS48" s="952"/>
      <c r="ADT48" s="952"/>
      <c r="ADU48" s="952"/>
      <c r="ADV48" s="952"/>
      <c r="ADW48" s="952"/>
      <c r="ADX48" s="952"/>
      <c r="ADY48" s="952"/>
      <c r="ADZ48" s="952"/>
      <c r="AEA48" s="952"/>
      <c r="AEB48" s="952"/>
      <c r="AEC48" s="952"/>
      <c r="AED48" s="952"/>
      <c r="AEE48" s="952"/>
      <c r="AEF48" s="952"/>
      <c r="AEG48" s="952"/>
      <c r="AEH48" s="952"/>
      <c r="AEI48" s="952"/>
      <c r="AEJ48" s="952"/>
      <c r="AEK48" s="952"/>
      <c r="AEL48" s="952"/>
      <c r="AEM48" s="952"/>
      <c r="AEN48" s="952"/>
      <c r="AEO48" s="952"/>
      <c r="AEP48" s="952"/>
      <c r="AEQ48" s="952"/>
      <c r="AER48" s="952"/>
      <c r="AES48" s="952"/>
      <c r="AET48" s="952"/>
      <c r="AEU48" s="952"/>
      <c r="AEV48" s="952"/>
      <c r="AEW48" s="952"/>
      <c r="AEX48" s="952"/>
      <c r="AEY48" s="952"/>
      <c r="AEZ48" s="952"/>
      <c r="AFA48" s="952"/>
      <c r="AFB48" s="952"/>
      <c r="AFC48" s="952"/>
      <c r="AFD48" s="952"/>
      <c r="AFE48" s="952"/>
      <c r="AFF48" s="952"/>
      <c r="AFG48" s="952"/>
      <c r="AFH48" s="952"/>
      <c r="AFI48" s="952"/>
      <c r="AFJ48" s="952"/>
      <c r="AFK48" s="952"/>
      <c r="AFL48" s="952"/>
      <c r="AFM48" s="952"/>
      <c r="AFN48" s="952"/>
      <c r="AFO48" s="952"/>
      <c r="AFP48" s="952"/>
      <c r="AFQ48" s="952"/>
      <c r="AFR48" s="952"/>
      <c r="AFS48" s="952"/>
      <c r="AFT48" s="952"/>
      <c r="AFU48" s="952"/>
      <c r="AFV48" s="952"/>
      <c r="AFW48" s="952"/>
      <c r="AFX48" s="952"/>
      <c r="AFY48" s="952"/>
      <c r="AFZ48" s="952"/>
      <c r="AGA48" s="952"/>
      <c r="AGB48" s="952"/>
      <c r="AGC48" s="952"/>
      <c r="AGD48" s="952"/>
      <c r="AGE48" s="952"/>
      <c r="AGF48" s="952"/>
      <c r="AGG48" s="952"/>
      <c r="AGH48" s="952"/>
      <c r="AGI48" s="952"/>
      <c r="AGJ48" s="952"/>
      <c r="AGK48" s="952"/>
      <c r="AGL48" s="952"/>
      <c r="AGM48" s="952"/>
      <c r="AGN48" s="952"/>
      <c r="AGO48" s="952"/>
      <c r="AGP48" s="952"/>
      <c r="AGQ48" s="952"/>
      <c r="AGR48" s="952"/>
      <c r="AGS48" s="952"/>
      <c r="AGT48" s="952"/>
      <c r="AGU48" s="952"/>
      <c r="AGV48" s="952"/>
      <c r="AGW48" s="952"/>
      <c r="AGX48" s="952"/>
      <c r="AGY48" s="952"/>
      <c r="AGZ48" s="952"/>
      <c r="AHA48" s="952"/>
      <c r="AHB48" s="952"/>
      <c r="AHC48" s="952"/>
      <c r="AHD48" s="952"/>
      <c r="AHE48" s="952"/>
      <c r="AHF48" s="952"/>
      <c r="AHG48" s="952"/>
      <c r="AHH48" s="952"/>
      <c r="AHI48" s="952"/>
      <c r="AHJ48" s="952"/>
      <c r="AHK48" s="952"/>
      <c r="AHL48" s="952"/>
      <c r="AHM48" s="952"/>
      <c r="AHN48" s="952"/>
      <c r="AHO48" s="952"/>
      <c r="AHP48" s="952"/>
      <c r="AHQ48" s="952"/>
      <c r="AHR48" s="952"/>
      <c r="AHS48" s="952"/>
      <c r="AHT48" s="952"/>
      <c r="AHU48" s="952"/>
      <c r="AHV48" s="952"/>
      <c r="AHW48" s="952"/>
      <c r="AHX48" s="952"/>
      <c r="AHY48" s="952"/>
      <c r="AHZ48" s="952"/>
      <c r="AIA48" s="952"/>
      <c r="AIB48" s="952"/>
      <c r="AIC48" s="952"/>
      <c r="AID48" s="952"/>
      <c r="AIE48" s="952"/>
      <c r="AIF48" s="952"/>
      <c r="AIG48" s="952"/>
      <c r="AIH48" s="952"/>
      <c r="AII48" s="952"/>
      <c r="AIJ48" s="952"/>
      <c r="AIK48" s="952"/>
      <c r="AIL48" s="952"/>
      <c r="AIM48" s="952"/>
      <c r="AIN48" s="952"/>
      <c r="AIO48" s="952"/>
      <c r="AIP48" s="952"/>
      <c r="AIQ48" s="952"/>
      <c r="AIR48" s="952"/>
      <c r="AIS48" s="952"/>
      <c r="AIT48" s="952"/>
      <c r="AIU48" s="952"/>
      <c r="AIV48" s="952"/>
      <c r="AIW48" s="952"/>
      <c r="AIX48" s="952"/>
      <c r="AIY48" s="952"/>
      <c r="AIZ48" s="952"/>
      <c r="AJA48" s="952"/>
      <c r="AJB48" s="952"/>
      <c r="AJC48" s="952"/>
      <c r="AJD48" s="952"/>
      <c r="AJE48" s="952"/>
      <c r="AJF48" s="952"/>
      <c r="AJG48" s="952"/>
      <c r="AJH48" s="952"/>
      <c r="AJI48" s="952"/>
      <c r="AJJ48" s="952"/>
      <c r="AJK48" s="952"/>
      <c r="AJL48" s="952"/>
      <c r="AJM48" s="952"/>
      <c r="AJN48" s="952"/>
      <c r="AJO48" s="952"/>
      <c r="AJP48" s="952"/>
      <c r="AJQ48" s="952"/>
      <c r="AJR48" s="952"/>
      <c r="AJS48" s="952"/>
      <c r="AJT48" s="952"/>
      <c r="AJU48" s="952"/>
      <c r="AJV48" s="952"/>
      <c r="AJW48" s="952"/>
      <c r="AJX48" s="952"/>
      <c r="AJY48" s="952"/>
      <c r="AJZ48" s="952"/>
      <c r="AKA48" s="952"/>
      <c r="AKB48" s="952"/>
      <c r="AKC48" s="952"/>
      <c r="AKD48" s="952"/>
      <c r="AKE48" s="952"/>
      <c r="AKF48" s="952"/>
      <c r="AKG48" s="952"/>
      <c r="AKH48" s="952"/>
      <c r="AKI48" s="952"/>
      <c r="AKJ48" s="952"/>
      <c r="AKK48" s="952"/>
      <c r="AKL48" s="952"/>
      <c r="AKM48" s="952"/>
      <c r="AKN48" s="952"/>
      <c r="AKO48" s="952"/>
      <c r="AKP48" s="952"/>
      <c r="AKQ48" s="952"/>
      <c r="AKR48" s="952"/>
      <c r="AKS48" s="952"/>
      <c r="AKT48" s="952"/>
      <c r="AKU48" s="952"/>
      <c r="AKV48" s="952"/>
      <c r="AKW48" s="952"/>
      <c r="AKX48" s="952"/>
      <c r="AKY48" s="952"/>
      <c r="AKZ48" s="952"/>
      <c r="ALA48" s="952"/>
      <c r="ALB48" s="952"/>
      <c r="ALC48" s="952"/>
      <c r="ALD48" s="952"/>
      <c r="ALE48" s="952"/>
      <c r="ALF48" s="952"/>
      <c r="ALG48" s="952"/>
      <c r="ALH48" s="952"/>
      <c r="ALI48" s="952"/>
      <c r="ALJ48" s="952"/>
      <c r="ALK48" s="952"/>
      <c r="ALL48" s="952"/>
      <c r="ALM48" s="952"/>
      <c r="ALN48" s="952"/>
      <c r="ALO48" s="952"/>
      <c r="ALP48" s="952"/>
      <c r="ALQ48" s="952"/>
      <c r="ALR48" s="952"/>
      <c r="ALS48" s="952"/>
      <c r="ALT48" s="952"/>
      <c r="ALU48" s="952"/>
      <c r="ALV48" s="952"/>
      <c r="ALW48" s="952"/>
      <c r="ALX48" s="952"/>
      <c r="ALY48" s="952"/>
      <c r="ALZ48" s="952"/>
      <c r="AMA48" s="952"/>
      <c r="AMB48" s="952"/>
      <c r="AMC48" s="952"/>
      <c r="AMD48" s="952"/>
      <c r="AME48" s="952"/>
      <c r="AMF48" s="952"/>
      <c r="AMG48" s="952"/>
      <c r="AMH48" s="952"/>
      <c r="AMI48" s="952"/>
      <c r="AMJ48" s="952"/>
      <c r="AMK48" s="952"/>
      <c r="AML48" s="952"/>
      <c r="AMM48" s="952"/>
      <c r="AMN48" s="952"/>
      <c r="AMO48" s="952"/>
      <c r="AMP48" s="952"/>
      <c r="AMQ48" s="952"/>
      <c r="AMR48" s="952"/>
      <c r="AMS48" s="952"/>
      <c r="AMT48" s="952"/>
      <c r="AMU48" s="952"/>
      <c r="AMV48" s="952"/>
      <c r="AMW48" s="952"/>
      <c r="AMX48" s="952"/>
      <c r="AMY48" s="952"/>
      <c r="AMZ48" s="952"/>
      <c r="ANA48" s="952"/>
      <c r="ANB48" s="952"/>
      <c r="ANC48" s="952"/>
      <c r="AND48" s="952"/>
      <c r="ANE48" s="952"/>
      <c r="ANF48" s="952"/>
      <c r="ANG48" s="952"/>
      <c r="ANH48" s="952"/>
      <c r="ANI48" s="952"/>
      <c r="ANJ48" s="952"/>
      <c r="ANK48" s="952"/>
      <c r="ANL48" s="952"/>
      <c r="ANM48" s="952"/>
      <c r="ANN48" s="952"/>
      <c r="ANO48" s="952"/>
      <c r="ANP48" s="952"/>
      <c r="ANQ48" s="952"/>
      <c r="ANR48" s="952"/>
      <c r="ANS48" s="952"/>
      <c r="ANT48" s="952"/>
      <c r="ANU48" s="952"/>
      <c r="ANV48" s="952"/>
      <c r="ANW48" s="952"/>
      <c r="ANX48" s="952"/>
      <c r="ANY48" s="952"/>
      <c r="ANZ48" s="952"/>
      <c r="AOA48" s="952"/>
      <c r="AOB48" s="952"/>
      <c r="AOC48" s="952"/>
      <c r="AOD48" s="952"/>
      <c r="AOE48" s="952"/>
      <c r="AOF48" s="952"/>
      <c r="AOG48" s="952"/>
      <c r="AOH48" s="952"/>
      <c r="AOI48" s="952"/>
      <c r="AOJ48" s="952"/>
      <c r="AOK48" s="952"/>
      <c r="AOL48" s="952"/>
      <c r="AOM48" s="952"/>
      <c r="AON48" s="952"/>
      <c r="AOO48" s="952"/>
      <c r="AOP48" s="952"/>
      <c r="AOQ48" s="952"/>
      <c r="AOR48" s="952"/>
      <c r="AOS48" s="952"/>
      <c r="AOT48" s="952"/>
      <c r="AOU48" s="952"/>
      <c r="AOV48" s="952"/>
      <c r="AOW48" s="952"/>
      <c r="AOX48" s="952"/>
      <c r="AOY48" s="952"/>
      <c r="AOZ48" s="952"/>
      <c r="APA48" s="952"/>
      <c r="APB48" s="952"/>
      <c r="APC48" s="952"/>
      <c r="APD48" s="952"/>
      <c r="APE48" s="952"/>
      <c r="APF48" s="952"/>
      <c r="APG48" s="952"/>
      <c r="APH48" s="952"/>
      <c r="API48" s="952"/>
      <c r="APJ48" s="952"/>
      <c r="APK48" s="952"/>
      <c r="APL48" s="952"/>
      <c r="APM48" s="952"/>
      <c r="APN48" s="952"/>
      <c r="APO48" s="952"/>
      <c r="APP48" s="952"/>
      <c r="APQ48" s="952"/>
      <c r="APR48" s="952"/>
      <c r="APS48" s="952"/>
      <c r="APT48" s="952"/>
      <c r="APU48" s="952"/>
      <c r="APV48" s="952"/>
      <c r="APW48" s="952"/>
      <c r="APX48" s="952"/>
      <c r="APY48" s="952"/>
      <c r="APZ48" s="952"/>
      <c r="AQA48" s="952"/>
      <c r="AQB48" s="952"/>
      <c r="AQC48" s="952"/>
      <c r="AQD48" s="952"/>
      <c r="AQE48" s="952"/>
      <c r="AQF48" s="952"/>
      <c r="AQG48" s="952"/>
      <c r="AQH48" s="952"/>
      <c r="AQI48" s="952"/>
      <c r="AQJ48" s="952"/>
      <c r="AQK48" s="952"/>
      <c r="AQL48" s="952"/>
      <c r="AQM48" s="952"/>
      <c r="AQN48" s="952"/>
      <c r="AQO48" s="952"/>
      <c r="AQP48" s="952"/>
      <c r="AQQ48" s="952"/>
      <c r="AQR48" s="952"/>
      <c r="AQS48" s="952"/>
      <c r="AQT48" s="952"/>
      <c r="AQU48" s="952"/>
      <c r="AQV48" s="952"/>
      <c r="AQW48" s="952"/>
      <c r="AQX48" s="952"/>
      <c r="AQY48" s="952"/>
      <c r="AQZ48" s="952"/>
      <c r="ARA48" s="952"/>
      <c r="ARB48" s="952"/>
      <c r="ARC48" s="952"/>
      <c r="ARD48" s="952"/>
      <c r="ARE48" s="952"/>
      <c r="ARF48" s="952"/>
      <c r="ARG48" s="952"/>
      <c r="ARH48" s="952"/>
      <c r="ARI48" s="952"/>
      <c r="ARJ48" s="952"/>
      <c r="ARK48" s="952"/>
      <c r="ARL48" s="952"/>
      <c r="ARM48" s="952"/>
      <c r="ARN48" s="952"/>
      <c r="ARO48" s="952"/>
      <c r="ARP48" s="952"/>
      <c r="ARQ48" s="952"/>
      <c r="ARR48" s="952"/>
      <c r="ARS48" s="952"/>
      <c r="ART48" s="952"/>
      <c r="ARU48" s="952"/>
      <c r="ARV48" s="952"/>
      <c r="ARW48" s="952"/>
      <c r="ARX48" s="952"/>
      <c r="ARY48" s="952"/>
      <c r="ARZ48" s="952"/>
      <c r="ASA48" s="952"/>
      <c r="ASB48" s="952"/>
      <c r="ASC48" s="952"/>
      <c r="ASD48" s="952"/>
      <c r="ASE48" s="952"/>
      <c r="ASF48" s="952"/>
      <c r="ASG48" s="952"/>
      <c r="ASH48" s="952"/>
      <c r="ASI48" s="952"/>
      <c r="ASJ48" s="952"/>
      <c r="ASK48" s="952"/>
      <c r="ASL48" s="952"/>
      <c r="ASM48" s="952"/>
      <c r="ASN48" s="952"/>
      <c r="ASO48" s="952"/>
      <c r="ASP48" s="952"/>
      <c r="ASQ48" s="952"/>
      <c r="ASR48" s="952"/>
      <c r="ASS48" s="952"/>
      <c r="AST48" s="952"/>
      <c r="ASU48" s="952"/>
      <c r="ASV48" s="952"/>
      <c r="ASW48" s="952"/>
      <c r="ASX48" s="952"/>
      <c r="ASY48" s="952"/>
      <c r="ASZ48" s="952"/>
      <c r="ATA48" s="952"/>
      <c r="ATB48" s="952"/>
      <c r="ATC48" s="952"/>
      <c r="ATD48" s="952"/>
      <c r="ATE48" s="952"/>
      <c r="ATF48" s="952"/>
      <c r="ATG48" s="952"/>
      <c r="ATH48" s="952"/>
      <c r="ATI48" s="952"/>
      <c r="ATJ48" s="952"/>
      <c r="ATK48" s="952"/>
      <c r="ATL48" s="952"/>
      <c r="ATM48" s="952"/>
      <c r="ATN48" s="952"/>
      <c r="ATO48" s="952"/>
      <c r="ATP48" s="952"/>
      <c r="ATQ48" s="952"/>
      <c r="ATR48" s="952"/>
      <c r="ATS48" s="952"/>
      <c r="ATT48" s="952"/>
      <c r="ATU48" s="952"/>
      <c r="ATV48" s="952"/>
      <c r="ATW48" s="952"/>
      <c r="ATX48" s="952"/>
      <c r="ATY48" s="952"/>
      <c r="ATZ48" s="952"/>
      <c r="AUA48" s="952"/>
      <c r="AUB48" s="952"/>
      <c r="AUC48" s="952"/>
      <c r="AUD48" s="952"/>
      <c r="AUE48" s="952"/>
      <c r="AUF48" s="952"/>
      <c r="AUG48" s="952"/>
      <c r="AUH48" s="952"/>
      <c r="AUI48" s="952"/>
      <c r="AUJ48" s="952"/>
      <c r="AUK48" s="952"/>
      <c r="AUL48" s="952"/>
      <c r="AUM48" s="952"/>
      <c r="AUN48" s="952"/>
      <c r="AUO48" s="952"/>
      <c r="AUP48" s="952"/>
      <c r="AUQ48" s="952"/>
      <c r="AUR48" s="952"/>
      <c r="AUS48" s="952"/>
      <c r="AUT48" s="952"/>
      <c r="AUU48" s="952"/>
      <c r="AUV48" s="952"/>
      <c r="AUW48" s="952"/>
      <c r="AUX48" s="952"/>
      <c r="AUY48" s="952"/>
      <c r="AUZ48" s="952"/>
      <c r="AVA48" s="952"/>
      <c r="AVB48" s="952"/>
      <c r="AVC48" s="952"/>
      <c r="AVD48" s="952"/>
      <c r="AVE48" s="952"/>
      <c r="AVF48" s="952"/>
      <c r="AVG48" s="952"/>
      <c r="AVH48" s="952"/>
      <c r="AVI48" s="952"/>
      <c r="AVJ48" s="952"/>
      <c r="AVK48" s="952"/>
      <c r="AVL48" s="952"/>
      <c r="AVM48" s="952"/>
      <c r="AVN48" s="952"/>
      <c r="AVO48" s="952"/>
      <c r="AVP48" s="952"/>
      <c r="AVQ48" s="952"/>
      <c r="AVR48" s="952"/>
      <c r="AVS48" s="952"/>
      <c r="AVT48" s="952"/>
      <c r="AVU48" s="952"/>
      <c r="AVV48" s="952"/>
      <c r="AVW48" s="952"/>
      <c r="AVX48" s="952"/>
      <c r="AVY48" s="952"/>
      <c r="AVZ48" s="952"/>
      <c r="AWA48" s="952"/>
      <c r="AWB48" s="952"/>
      <c r="AWC48" s="952"/>
      <c r="AWD48" s="952"/>
      <c r="AWE48" s="952"/>
      <c r="AWF48" s="952"/>
      <c r="AWG48" s="952"/>
      <c r="AWH48" s="952"/>
      <c r="AWI48" s="952"/>
      <c r="AWJ48" s="952"/>
      <c r="AWK48" s="952"/>
      <c r="AWL48" s="952"/>
      <c r="AWM48" s="952"/>
      <c r="AWN48" s="952"/>
      <c r="AWO48" s="952"/>
      <c r="AWP48" s="952"/>
      <c r="AWQ48" s="952"/>
      <c r="AWR48" s="952"/>
      <c r="AWS48" s="952"/>
      <c r="AWT48" s="952"/>
      <c r="AWU48" s="952"/>
      <c r="AWV48" s="952"/>
      <c r="AWW48" s="952"/>
      <c r="AWX48" s="952"/>
      <c r="AWY48" s="952"/>
      <c r="AWZ48" s="952"/>
      <c r="AXA48" s="952"/>
      <c r="AXB48" s="952"/>
      <c r="AXC48" s="952"/>
      <c r="AXD48" s="952"/>
      <c r="AXE48" s="952"/>
      <c r="AXF48" s="952"/>
      <c r="AXG48" s="952"/>
      <c r="AXH48" s="952"/>
      <c r="AXI48" s="952"/>
      <c r="AXJ48" s="952"/>
      <c r="AXK48" s="952"/>
      <c r="AXL48" s="952"/>
      <c r="AXM48" s="952"/>
      <c r="AXN48" s="952"/>
      <c r="AXO48" s="952"/>
      <c r="AXP48" s="952"/>
      <c r="AXQ48" s="952"/>
      <c r="AXR48" s="952"/>
      <c r="AXS48" s="952"/>
      <c r="AXT48" s="952"/>
      <c r="AXU48" s="952"/>
      <c r="AXV48" s="952"/>
      <c r="AXW48" s="952"/>
      <c r="AXX48" s="952"/>
      <c r="AXY48" s="952"/>
      <c r="AXZ48" s="952"/>
      <c r="AYA48" s="952"/>
      <c r="AYB48" s="952"/>
      <c r="AYC48" s="952"/>
      <c r="AYD48" s="952"/>
      <c r="AYE48" s="952"/>
      <c r="AYF48" s="952"/>
      <c r="AYG48" s="952"/>
      <c r="AYH48" s="952"/>
      <c r="AYI48" s="952"/>
      <c r="AYJ48" s="952"/>
      <c r="AYK48" s="952"/>
      <c r="AYL48" s="952"/>
      <c r="AYM48" s="952"/>
      <c r="AYN48" s="952"/>
      <c r="AYO48" s="952"/>
      <c r="AYP48" s="952"/>
      <c r="AYQ48" s="952"/>
      <c r="AYR48" s="952"/>
      <c r="AYS48" s="952"/>
      <c r="AYT48" s="952"/>
      <c r="AYU48" s="952"/>
      <c r="AYV48" s="952"/>
      <c r="AYW48" s="952"/>
      <c r="AYX48" s="952"/>
      <c r="AYY48" s="952"/>
      <c r="AYZ48" s="952"/>
      <c r="AZA48" s="952"/>
      <c r="AZB48" s="952"/>
      <c r="AZC48" s="952"/>
      <c r="AZD48" s="952"/>
      <c r="AZE48" s="952"/>
      <c r="AZF48" s="952"/>
      <c r="AZG48" s="952"/>
      <c r="AZH48" s="952"/>
      <c r="AZI48" s="952"/>
      <c r="AZJ48" s="952"/>
      <c r="AZK48" s="952"/>
      <c r="AZL48" s="952"/>
      <c r="AZM48" s="952"/>
      <c r="AZN48" s="952"/>
      <c r="AZO48" s="952"/>
      <c r="AZP48" s="952"/>
      <c r="AZQ48" s="952"/>
      <c r="AZR48" s="952"/>
      <c r="AZS48" s="952"/>
      <c r="AZT48" s="952"/>
      <c r="AZU48" s="952"/>
      <c r="AZV48" s="952"/>
      <c r="AZW48" s="952"/>
      <c r="AZX48" s="952"/>
      <c r="AZY48" s="952"/>
      <c r="AZZ48" s="952"/>
      <c r="BAA48" s="952"/>
      <c r="BAB48" s="952"/>
      <c r="BAC48" s="952"/>
      <c r="BAD48" s="952"/>
      <c r="BAE48" s="952"/>
      <c r="BAF48" s="952"/>
      <c r="BAG48" s="952"/>
      <c r="BAH48" s="952"/>
      <c r="BAI48" s="952"/>
      <c r="BAJ48" s="952"/>
      <c r="BAK48" s="952"/>
      <c r="BAL48" s="952"/>
      <c r="BAM48" s="952"/>
      <c r="BAN48" s="952"/>
      <c r="BAO48" s="952"/>
      <c r="BAP48" s="952"/>
      <c r="BAQ48" s="952"/>
      <c r="BAR48" s="952"/>
      <c r="BAS48" s="952"/>
      <c r="BAT48" s="952"/>
      <c r="BAU48" s="952"/>
      <c r="BAV48" s="952"/>
      <c r="BAW48" s="952"/>
      <c r="BAX48" s="952"/>
      <c r="BAY48" s="952"/>
      <c r="BAZ48" s="952"/>
      <c r="BBA48" s="952"/>
      <c r="BBB48" s="952"/>
      <c r="BBC48" s="952"/>
      <c r="BBD48" s="952"/>
      <c r="BBE48" s="952"/>
      <c r="BBF48" s="952"/>
      <c r="BBG48" s="952"/>
      <c r="BBH48" s="952"/>
      <c r="BBI48" s="952"/>
      <c r="BBJ48" s="952"/>
      <c r="BBK48" s="952"/>
      <c r="BBL48" s="952"/>
      <c r="BBM48" s="952"/>
      <c r="BBN48" s="952"/>
      <c r="BBO48" s="952"/>
      <c r="BBP48" s="952"/>
      <c r="BBQ48" s="952"/>
      <c r="BBR48" s="952"/>
      <c r="BBS48" s="952"/>
      <c r="BBT48" s="952"/>
      <c r="BBU48" s="952"/>
      <c r="BBV48" s="952"/>
      <c r="BBW48" s="952"/>
      <c r="BBX48" s="952"/>
      <c r="BBY48" s="952"/>
      <c r="BBZ48" s="952"/>
      <c r="BCA48" s="952"/>
      <c r="BCB48" s="952"/>
      <c r="BCC48" s="952"/>
      <c r="BCD48" s="952"/>
      <c r="BCE48" s="952"/>
      <c r="BCF48" s="952"/>
      <c r="BCG48" s="952"/>
      <c r="BCH48" s="952"/>
      <c r="BCI48" s="952"/>
      <c r="BCJ48" s="952"/>
      <c r="BCK48" s="952"/>
      <c r="BCL48" s="952"/>
      <c r="BCM48" s="952"/>
      <c r="BCN48" s="952"/>
      <c r="BCO48" s="952"/>
      <c r="BCP48" s="952"/>
      <c r="BCQ48" s="952"/>
      <c r="BCR48" s="952"/>
      <c r="BCS48" s="952"/>
      <c r="BCT48" s="952"/>
      <c r="BCU48" s="952"/>
      <c r="BCV48" s="952"/>
      <c r="BCW48" s="952"/>
      <c r="BCX48" s="952"/>
      <c r="BCY48" s="952"/>
      <c r="BCZ48" s="952"/>
      <c r="BDA48" s="952"/>
      <c r="BDB48" s="952"/>
      <c r="BDC48" s="952"/>
      <c r="BDD48" s="952"/>
      <c r="BDE48" s="952"/>
      <c r="BDF48" s="952"/>
      <c r="BDG48" s="952"/>
      <c r="BDH48" s="952"/>
      <c r="BDI48" s="952"/>
      <c r="BDJ48" s="952"/>
      <c r="BDK48" s="952"/>
      <c r="BDL48" s="952"/>
      <c r="BDM48" s="952"/>
      <c r="BDN48" s="952"/>
      <c r="BDO48" s="952"/>
      <c r="BDP48" s="952"/>
      <c r="BDQ48" s="952"/>
      <c r="BDR48" s="952"/>
      <c r="BDS48" s="952"/>
      <c r="BDT48" s="952"/>
      <c r="BDU48" s="952"/>
      <c r="BDV48" s="952"/>
      <c r="BDW48" s="952"/>
      <c r="BDX48" s="952"/>
      <c r="BDY48" s="952"/>
      <c r="BDZ48" s="952"/>
      <c r="BEA48" s="952"/>
      <c r="BEB48" s="952"/>
      <c r="BEC48" s="952"/>
      <c r="BED48" s="952"/>
      <c r="BEE48" s="952"/>
      <c r="BEF48" s="952"/>
      <c r="BEG48" s="952"/>
      <c r="BEH48" s="952"/>
      <c r="BEI48" s="952"/>
      <c r="BEJ48" s="952"/>
      <c r="BEK48" s="952"/>
      <c r="BEL48" s="952"/>
      <c r="BEM48" s="952"/>
      <c r="BEN48" s="952"/>
      <c r="BEO48" s="952"/>
      <c r="BEP48" s="952"/>
      <c r="BEQ48" s="952"/>
      <c r="BER48" s="952"/>
      <c r="BES48" s="952"/>
      <c r="BET48" s="952"/>
      <c r="BEU48" s="952"/>
      <c r="BEV48" s="952"/>
      <c r="BEW48" s="952"/>
      <c r="BEX48" s="952"/>
      <c r="BEY48" s="952"/>
      <c r="BEZ48" s="952"/>
      <c r="BFA48" s="952"/>
      <c r="BFB48" s="952"/>
      <c r="BFC48" s="952"/>
      <c r="BFD48" s="952"/>
      <c r="BFE48" s="952"/>
      <c r="BFF48" s="952"/>
      <c r="BFG48" s="952"/>
      <c r="BFH48" s="952"/>
      <c r="BFI48" s="952"/>
      <c r="BFJ48" s="952"/>
      <c r="BFK48" s="952"/>
      <c r="BFL48" s="952"/>
      <c r="BFM48" s="952"/>
      <c r="BFN48" s="952"/>
      <c r="BFO48" s="952"/>
      <c r="BFP48" s="952"/>
      <c r="BFQ48" s="952"/>
      <c r="BFR48" s="952"/>
      <c r="BFS48" s="952"/>
      <c r="BFT48" s="952"/>
      <c r="BFU48" s="952"/>
      <c r="BFV48" s="952"/>
      <c r="BFW48" s="952"/>
      <c r="BFX48" s="952"/>
      <c r="BFY48" s="952"/>
      <c r="BFZ48" s="952"/>
      <c r="BGA48" s="952"/>
      <c r="BGB48" s="952"/>
      <c r="BGC48" s="952"/>
      <c r="BGD48" s="952"/>
      <c r="BGE48" s="952"/>
      <c r="BGF48" s="952"/>
      <c r="BGG48" s="952"/>
      <c r="BGH48" s="952"/>
      <c r="BGI48" s="952"/>
      <c r="BGJ48" s="952"/>
      <c r="BGK48" s="952"/>
      <c r="BGL48" s="952"/>
      <c r="BGM48" s="952"/>
      <c r="BGN48" s="952"/>
      <c r="BGO48" s="952"/>
      <c r="BGP48" s="952"/>
      <c r="BGQ48" s="952"/>
      <c r="BGR48" s="952"/>
      <c r="BGS48" s="952"/>
      <c r="BGT48" s="952"/>
      <c r="BGU48" s="952"/>
      <c r="BGV48" s="952"/>
      <c r="BGW48" s="952"/>
      <c r="BGX48" s="952"/>
      <c r="BGY48" s="952"/>
      <c r="BGZ48" s="952"/>
      <c r="BHA48" s="952"/>
      <c r="BHB48" s="952"/>
      <c r="BHC48" s="952"/>
      <c r="BHD48" s="952"/>
      <c r="BHE48" s="952"/>
      <c r="BHF48" s="952"/>
      <c r="BHG48" s="952"/>
      <c r="BHH48" s="952"/>
      <c r="BHI48" s="952"/>
      <c r="BHJ48" s="952"/>
      <c r="BHK48" s="952"/>
      <c r="BHL48" s="952"/>
      <c r="BHM48" s="952"/>
      <c r="BHN48" s="952"/>
      <c r="BHO48" s="952"/>
      <c r="BHP48" s="952"/>
      <c r="BHQ48" s="952"/>
      <c r="BHR48" s="952"/>
      <c r="BHS48" s="952"/>
      <c r="BHT48" s="952"/>
      <c r="BHU48" s="952"/>
      <c r="BHV48" s="952"/>
      <c r="BHW48" s="952"/>
      <c r="BHX48" s="952"/>
      <c r="BHY48" s="952"/>
      <c r="BHZ48" s="952"/>
      <c r="BIA48" s="952"/>
      <c r="BIB48" s="952"/>
      <c r="BIC48" s="952"/>
      <c r="BID48" s="952"/>
      <c r="BIE48" s="952"/>
      <c r="BIF48" s="952"/>
      <c r="BIG48" s="952"/>
      <c r="BIH48" s="952"/>
      <c r="BII48" s="952"/>
      <c r="BIJ48" s="952"/>
      <c r="BIK48" s="952"/>
      <c r="BIL48" s="952"/>
      <c r="BIM48" s="952"/>
      <c r="BIN48" s="952"/>
      <c r="BIO48" s="952"/>
      <c r="BIP48" s="952"/>
      <c r="BIQ48" s="952"/>
      <c r="BIR48" s="952"/>
      <c r="BIS48" s="952"/>
      <c r="BIT48" s="952"/>
      <c r="BIU48" s="952"/>
      <c r="BIV48" s="952"/>
      <c r="BIW48" s="952"/>
      <c r="BIX48" s="952"/>
      <c r="BIY48" s="952"/>
      <c r="BIZ48" s="952"/>
      <c r="BJA48" s="952"/>
      <c r="BJB48" s="952"/>
      <c r="BJC48" s="952"/>
      <c r="BJD48" s="952"/>
      <c r="BJE48" s="952"/>
      <c r="BJF48" s="952"/>
      <c r="BJG48" s="952"/>
      <c r="BJH48" s="952"/>
      <c r="BJI48" s="952"/>
      <c r="BJJ48" s="952"/>
      <c r="BJK48" s="952"/>
      <c r="BJL48" s="952"/>
      <c r="BJM48" s="952"/>
      <c r="BJN48" s="952"/>
      <c r="BJO48" s="952"/>
      <c r="BJP48" s="952"/>
      <c r="BJQ48" s="952"/>
      <c r="BJR48" s="952"/>
      <c r="BJS48" s="952"/>
      <c r="BJT48" s="952"/>
      <c r="BJU48" s="952"/>
      <c r="BJV48" s="952"/>
      <c r="BJW48" s="952"/>
      <c r="BJX48" s="952"/>
      <c r="BJY48" s="952"/>
      <c r="BJZ48" s="952"/>
      <c r="BKA48" s="952"/>
      <c r="BKB48" s="952"/>
      <c r="BKC48" s="952"/>
      <c r="BKD48" s="952"/>
      <c r="BKE48" s="952"/>
      <c r="BKF48" s="952"/>
      <c r="BKG48" s="952"/>
      <c r="BKH48" s="952"/>
      <c r="BKI48" s="952"/>
      <c r="BKJ48" s="952"/>
      <c r="BKK48" s="952"/>
      <c r="BKL48" s="952"/>
      <c r="BKM48" s="952"/>
      <c r="BKN48" s="952"/>
      <c r="BKO48" s="952"/>
      <c r="BKP48" s="952"/>
      <c r="BKQ48" s="952"/>
      <c r="BKR48" s="952"/>
      <c r="BKS48" s="952"/>
      <c r="BKT48" s="952"/>
      <c r="BKU48" s="952"/>
      <c r="BKV48" s="952"/>
      <c r="BKW48" s="952"/>
      <c r="BKX48" s="952"/>
      <c r="BKY48" s="952"/>
      <c r="BKZ48" s="952"/>
      <c r="BLA48" s="952"/>
      <c r="BLB48" s="952"/>
      <c r="BLC48" s="952"/>
      <c r="BLD48" s="952"/>
      <c r="BLE48" s="952"/>
      <c r="BLF48" s="952"/>
      <c r="BLG48" s="952"/>
      <c r="BLH48" s="952"/>
      <c r="BLI48" s="952"/>
      <c r="BLJ48" s="952"/>
      <c r="BLK48" s="952"/>
      <c r="BLL48" s="952"/>
      <c r="BLM48" s="952"/>
      <c r="BLN48" s="952"/>
      <c r="BLO48" s="952"/>
      <c r="BLP48" s="952"/>
      <c r="BLQ48" s="952"/>
      <c r="BLR48" s="952"/>
      <c r="BLS48" s="952"/>
      <c r="BLT48" s="952"/>
      <c r="BLU48" s="952"/>
      <c r="BLV48" s="952"/>
      <c r="BLW48" s="952"/>
      <c r="BLX48" s="952"/>
      <c r="BLY48" s="952"/>
      <c r="BLZ48" s="952"/>
      <c r="BMA48" s="952"/>
      <c r="BMB48" s="952"/>
      <c r="BMC48" s="952"/>
      <c r="BMD48" s="952"/>
      <c r="BME48" s="952"/>
      <c r="BMF48" s="952"/>
      <c r="BMG48" s="952"/>
      <c r="BMH48" s="952"/>
      <c r="BMI48" s="952"/>
      <c r="BMJ48" s="952"/>
      <c r="BMK48" s="952"/>
      <c r="BML48" s="952"/>
      <c r="BMM48" s="952"/>
      <c r="BMN48" s="952"/>
      <c r="BMO48" s="952"/>
      <c r="BMP48" s="952"/>
      <c r="BMQ48" s="952"/>
      <c r="BMR48" s="952"/>
      <c r="BMS48" s="952"/>
      <c r="BMT48" s="952"/>
      <c r="BMU48" s="952"/>
      <c r="BMV48" s="952"/>
      <c r="BMW48" s="952"/>
      <c r="BMX48" s="952"/>
      <c r="BMY48" s="952"/>
      <c r="BMZ48" s="952"/>
      <c r="BNA48" s="952"/>
      <c r="BNB48" s="952"/>
      <c r="BNC48" s="952"/>
      <c r="BND48" s="952"/>
      <c r="BNE48" s="952"/>
      <c r="BNF48" s="952"/>
      <c r="BNG48" s="952"/>
      <c r="BNH48" s="952"/>
      <c r="BNI48" s="952"/>
      <c r="BNJ48" s="952"/>
      <c r="BNK48" s="952"/>
      <c r="BNL48" s="952"/>
      <c r="BNM48" s="952"/>
      <c r="BNN48" s="952"/>
      <c r="BNO48" s="952"/>
      <c r="BNP48" s="952"/>
      <c r="BNQ48" s="952"/>
      <c r="BNR48" s="952"/>
      <c r="BNS48" s="952"/>
      <c r="BNT48" s="952"/>
      <c r="BNU48" s="952"/>
      <c r="BNV48" s="952"/>
      <c r="BNW48" s="952"/>
      <c r="BNX48" s="952"/>
      <c r="BNY48" s="952"/>
      <c r="BNZ48" s="952"/>
      <c r="BOA48" s="952"/>
      <c r="BOB48" s="952"/>
      <c r="BOC48" s="952"/>
      <c r="BOD48" s="952"/>
      <c r="BOE48" s="952"/>
      <c r="BOF48" s="952"/>
      <c r="BOG48" s="952"/>
      <c r="BOH48" s="952"/>
      <c r="BOI48" s="952"/>
      <c r="BOJ48" s="952"/>
      <c r="BOK48" s="952"/>
      <c r="BOL48" s="952"/>
      <c r="BOM48" s="952"/>
      <c r="BON48" s="952"/>
      <c r="BOO48" s="952"/>
      <c r="BOP48" s="952"/>
      <c r="BOQ48" s="952"/>
      <c r="BOR48" s="952"/>
      <c r="BOS48" s="952"/>
      <c r="BOT48" s="952"/>
      <c r="BOU48" s="952"/>
      <c r="BOV48" s="952"/>
      <c r="BOW48" s="952"/>
      <c r="BOX48" s="952"/>
      <c r="BOY48" s="952"/>
      <c r="BOZ48" s="952"/>
      <c r="BPA48" s="952"/>
      <c r="BPB48" s="952"/>
      <c r="BPC48" s="952"/>
      <c r="BPD48" s="952"/>
      <c r="BPE48" s="952"/>
      <c r="BPF48" s="952"/>
      <c r="BPG48" s="952"/>
      <c r="BPH48" s="952"/>
      <c r="BPI48" s="952"/>
      <c r="BPJ48" s="952"/>
      <c r="BPK48" s="952"/>
      <c r="BPL48" s="952"/>
      <c r="BPM48" s="952"/>
      <c r="BPN48" s="952"/>
      <c r="BPO48" s="952"/>
      <c r="BPP48" s="952"/>
      <c r="BPQ48" s="952"/>
      <c r="BPR48" s="952"/>
      <c r="BPS48" s="952"/>
      <c r="BPT48" s="952"/>
      <c r="BPU48" s="952"/>
      <c r="BPV48" s="952"/>
      <c r="BPW48" s="952"/>
      <c r="BPX48" s="952"/>
      <c r="BPY48" s="952"/>
      <c r="BPZ48" s="952"/>
      <c r="BQA48" s="952"/>
      <c r="BQB48" s="952"/>
      <c r="BQC48" s="952"/>
      <c r="BQD48" s="952"/>
      <c r="BQE48" s="952"/>
      <c r="BQF48" s="952"/>
      <c r="BQG48" s="952"/>
      <c r="BQH48" s="952"/>
      <c r="BQI48" s="952"/>
      <c r="BQJ48" s="952"/>
      <c r="BQK48" s="952"/>
      <c r="BQL48" s="952"/>
      <c r="BQM48" s="952"/>
      <c r="BQN48" s="952"/>
      <c r="BQO48" s="952"/>
      <c r="BQP48" s="952"/>
      <c r="BQQ48" s="952"/>
      <c r="BQR48" s="952"/>
      <c r="BQS48" s="952"/>
      <c r="BQT48" s="952"/>
      <c r="BQU48" s="952"/>
      <c r="BQV48" s="952"/>
      <c r="BQW48" s="952"/>
      <c r="BQX48" s="952"/>
      <c r="BQY48" s="952"/>
      <c r="BQZ48" s="952"/>
      <c r="BRA48" s="952"/>
      <c r="BRB48" s="952"/>
      <c r="BRC48" s="952"/>
      <c r="BRD48" s="952"/>
      <c r="BRE48" s="952"/>
      <c r="BRF48" s="952"/>
      <c r="BRG48" s="952"/>
      <c r="BRH48" s="952"/>
      <c r="BRI48" s="952"/>
      <c r="BRJ48" s="952"/>
      <c r="BRK48" s="952"/>
      <c r="BRL48" s="952"/>
      <c r="BRM48" s="952"/>
      <c r="BRN48" s="952"/>
      <c r="BRO48" s="952"/>
      <c r="BRP48" s="952"/>
      <c r="BRQ48" s="952"/>
      <c r="BRR48" s="952"/>
      <c r="BRS48" s="952"/>
      <c r="BRT48" s="952"/>
      <c r="BRU48" s="952"/>
      <c r="BRV48" s="952"/>
      <c r="BRW48" s="952"/>
      <c r="BRX48" s="952"/>
      <c r="BRY48" s="952"/>
      <c r="BRZ48" s="952"/>
      <c r="BSA48" s="952"/>
      <c r="BSB48" s="952"/>
      <c r="BSC48" s="952"/>
      <c r="BSD48" s="952"/>
      <c r="BSE48" s="952"/>
      <c r="BSF48" s="952"/>
      <c r="BSG48" s="952"/>
      <c r="BSH48" s="952"/>
      <c r="BSI48" s="952"/>
      <c r="BSJ48" s="952"/>
      <c r="BSK48" s="952"/>
      <c r="BSL48" s="952"/>
      <c r="BSM48" s="952"/>
      <c r="BSN48" s="952"/>
      <c r="BSO48" s="952"/>
      <c r="BSP48" s="952"/>
      <c r="BSQ48" s="952"/>
      <c r="BSR48" s="952"/>
      <c r="BSS48" s="952"/>
      <c r="BST48" s="952"/>
      <c r="BSU48" s="952"/>
      <c r="BSV48" s="952"/>
      <c r="BSW48" s="952"/>
      <c r="BSX48" s="952"/>
      <c r="BSY48" s="952"/>
      <c r="BSZ48" s="952"/>
      <c r="BTA48" s="952"/>
      <c r="BTB48" s="952"/>
      <c r="BTC48" s="952"/>
      <c r="BTD48" s="952"/>
      <c r="BTE48" s="952"/>
      <c r="BTF48" s="952"/>
      <c r="BTG48" s="952"/>
      <c r="BTH48" s="952"/>
      <c r="BTI48" s="952"/>
      <c r="BTJ48" s="952"/>
      <c r="BTK48" s="952"/>
      <c r="BTL48" s="952"/>
      <c r="BTM48" s="952"/>
      <c r="BTN48" s="952"/>
      <c r="BTO48" s="952"/>
      <c r="BTP48" s="952"/>
      <c r="BTQ48" s="952"/>
      <c r="BTR48" s="952"/>
      <c r="BTS48" s="952"/>
      <c r="BTT48" s="952"/>
      <c r="BTU48" s="952"/>
      <c r="BTV48" s="952"/>
      <c r="BTW48" s="952"/>
      <c r="BTX48" s="952"/>
      <c r="BTY48" s="952"/>
      <c r="BTZ48" s="952"/>
      <c r="BUA48" s="952"/>
      <c r="BUB48" s="952"/>
      <c r="BUC48" s="952"/>
      <c r="BUD48" s="952"/>
      <c r="BUE48" s="952"/>
      <c r="BUF48" s="952"/>
      <c r="BUG48" s="952"/>
      <c r="BUH48" s="952"/>
      <c r="BUI48" s="952"/>
      <c r="BUJ48" s="952"/>
      <c r="BUK48" s="952"/>
      <c r="BUL48" s="952"/>
      <c r="BUM48" s="952"/>
      <c r="BUN48" s="952"/>
      <c r="BUO48" s="952"/>
      <c r="BUP48" s="952"/>
      <c r="BUQ48" s="952"/>
      <c r="BUR48" s="952"/>
      <c r="BUS48" s="952"/>
      <c r="BUT48" s="952"/>
      <c r="BUU48" s="952"/>
      <c r="BUV48" s="952"/>
      <c r="BUW48" s="952"/>
      <c r="BUX48" s="952"/>
      <c r="BUY48" s="952"/>
      <c r="BUZ48" s="952"/>
      <c r="BVA48" s="952"/>
      <c r="BVB48" s="952"/>
      <c r="BVC48" s="952"/>
      <c r="BVD48" s="952"/>
      <c r="BVE48" s="952"/>
      <c r="BVF48" s="952"/>
      <c r="BVG48" s="952"/>
      <c r="BVH48" s="952"/>
      <c r="BVI48" s="952"/>
      <c r="BVJ48" s="952"/>
      <c r="BVK48" s="952"/>
      <c r="BVL48" s="952"/>
      <c r="BVM48" s="952"/>
      <c r="BVN48" s="952"/>
      <c r="BVO48" s="952"/>
      <c r="BVP48" s="952"/>
      <c r="BVQ48" s="952"/>
      <c r="BVR48" s="952"/>
      <c r="BVS48" s="952"/>
      <c r="BVT48" s="952"/>
      <c r="BVU48" s="952"/>
      <c r="BVV48" s="952"/>
      <c r="BVW48" s="952"/>
      <c r="BVX48" s="952"/>
      <c r="BVY48" s="952"/>
      <c r="BVZ48" s="952"/>
      <c r="BWA48" s="952"/>
      <c r="BWB48" s="952"/>
      <c r="BWC48" s="952"/>
      <c r="BWD48" s="952"/>
      <c r="BWE48" s="952"/>
      <c r="BWF48" s="952"/>
      <c r="BWG48" s="952"/>
      <c r="BWH48" s="952"/>
      <c r="BWI48" s="952"/>
      <c r="BWJ48" s="952"/>
      <c r="BWK48" s="952"/>
      <c r="BWL48" s="952"/>
      <c r="BWM48" s="952"/>
      <c r="BWN48" s="952"/>
      <c r="BWO48" s="952"/>
      <c r="BWP48" s="952"/>
      <c r="BWQ48" s="952"/>
      <c r="BWR48" s="952"/>
      <c r="BWS48" s="952"/>
      <c r="BWT48" s="952"/>
      <c r="BWU48" s="952"/>
      <c r="BWV48" s="952"/>
      <c r="BWW48" s="952"/>
      <c r="BWX48" s="952"/>
      <c r="BWY48" s="952"/>
      <c r="BWZ48" s="952"/>
      <c r="BXA48" s="952"/>
      <c r="BXB48" s="952"/>
      <c r="BXC48" s="952"/>
      <c r="BXD48" s="952"/>
      <c r="BXE48" s="952"/>
      <c r="BXF48" s="952"/>
      <c r="BXG48" s="952"/>
      <c r="BXH48" s="952"/>
      <c r="BXI48" s="952"/>
      <c r="BXJ48" s="952"/>
      <c r="BXK48" s="952"/>
      <c r="BXL48" s="952"/>
      <c r="BXM48" s="952"/>
      <c r="BXN48" s="952"/>
      <c r="BXO48" s="952"/>
      <c r="BXP48" s="952"/>
      <c r="BXQ48" s="952"/>
      <c r="BXR48" s="952"/>
      <c r="BXS48" s="952"/>
      <c r="BXT48" s="952"/>
      <c r="BXU48" s="952"/>
      <c r="BXV48" s="952"/>
      <c r="BXW48" s="952"/>
      <c r="BXX48" s="952"/>
      <c r="BXY48" s="952"/>
      <c r="BXZ48" s="952"/>
      <c r="BYA48" s="952"/>
      <c r="BYB48" s="952"/>
      <c r="BYC48" s="952"/>
      <c r="BYD48" s="952"/>
      <c r="BYE48" s="952"/>
      <c r="BYF48" s="952"/>
      <c r="BYG48" s="952"/>
      <c r="BYH48" s="952"/>
      <c r="BYI48" s="952"/>
      <c r="BYJ48" s="952"/>
      <c r="BYK48" s="952"/>
      <c r="BYL48" s="952"/>
      <c r="BYM48" s="952"/>
      <c r="BYN48" s="952"/>
      <c r="BYO48" s="952"/>
      <c r="BYP48" s="952"/>
      <c r="BYQ48" s="952"/>
      <c r="BYR48" s="952"/>
      <c r="BYS48" s="952"/>
      <c r="BYT48" s="952"/>
      <c r="BYU48" s="952"/>
      <c r="BYV48" s="952"/>
      <c r="BYW48" s="952"/>
      <c r="BYX48" s="952"/>
      <c r="BYY48" s="952"/>
      <c r="BYZ48" s="952"/>
      <c r="BZA48" s="952"/>
      <c r="BZB48" s="952"/>
      <c r="BZC48" s="952"/>
      <c r="BZD48" s="952"/>
      <c r="BZE48" s="952"/>
      <c r="BZF48" s="952"/>
      <c r="BZG48" s="952"/>
      <c r="BZH48" s="952"/>
      <c r="BZI48" s="952"/>
      <c r="BZJ48" s="952"/>
      <c r="BZK48" s="952"/>
      <c r="BZL48" s="952"/>
      <c r="BZM48" s="952"/>
      <c r="BZN48" s="952"/>
      <c r="BZO48" s="952"/>
      <c r="BZP48" s="952"/>
      <c r="BZQ48" s="952"/>
      <c r="BZR48" s="952"/>
      <c r="BZS48" s="952"/>
      <c r="BZT48" s="952"/>
      <c r="BZU48" s="952"/>
      <c r="BZV48" s="952"/>
      <c r="BZW48" s="952"/>
      <c r="BZX48" s="952"/>
      <c r="BZY48" s="952"/>
      <c r="BZZ48" s="952"/>
      <c r="CAA48" s="952"/>
      <c r="CAB48" s="952"/>
      <c r="CAC48" s="952"/>
      <c r="CAD48" s="952"/>
      <c r="CAE48" s="952"/>
      <c r="CAF48" s="952"/>
      <c r="CAG48" s="952"/>
      <c r="CAH48" s="952"/>
      <c r="CAI48" s="952"/>
      <c r="CAJ48" s="952"/>
      <c r="CAK48" s="952"/>
      <c r="CAL48" s="952"/>
      <c r="CAM48" s="952"/>
      <c r="CAN48" s="952"/>
      <c r="CAO48" s="952"/>
      <c r="CAP48" s="952"/>
      <c r="CAQ48" s="952"/>
      <c r="CAR48" s="952"/>
      <c r="CAS48" s="952"/>
      <c r="CAT48" s="952"/>
      <c r="CAU48" s="952"/>
      <c r="CAV48" s="952"/>
      <c r="CAW48" s="952"/>
      <c r="CAX48" s="952"/>
      <c r="CAY48" s="952"/>
      <c r="CAZ48" s="952"/>
      <c r="CBA48" s="952"/>
      <c r="CBB48" s="952"/>
      <c r="CBC48" s="952"/>
      <c r="CBD48" s="952"/>
      <c r="CBE48" s="952"/>
      <c r="CBF48" s="952"/>
      <c r="CBG48" s="952"/>
      <c r="CBH48" s="952"/>
      <c r="CBI48" s="952"/>
      <c r="CBJ48" s="952"/>
      <c r="CBK48" s="952"/>
      <c r="CBL48" s="952"/>
      <c r="CBM48" s="952"/>
      <c r="CBN48" s="952"/>
      <c r="CBO48" s="952"/>
      <c r="CBP48" s="952"/>
      <c r="CBQ48" s="952"/>
      <c r="CBR48" s="952"/>
      <c r="CBS48" s="952"/>
      <c r="CBT48" s="952"/>
      <c r="CBU48" s="952"/>
      <c r="CBV48" s="952"/>
      <c r="CBW48" s="952"/>
      <c r="CBX48" s="952"/>
      <c r="CBY48" s="952"/>
      <c r="CBZ48" s="952"/>
      <c r="CCA48" s="952"/>
      <c r="CCB48" s="952"/>
      <c r="CCC48" s="952"/>
      <c r="CCD48" s="952"/>
      <c r="CCE48" s="952"/>
      <c r="CCF48" s="952"/>
      <c r="CCG48" s="952"/>
      <c r="CCH48" s="952"/>
      <c r="CCI48" s="952"/>
      <c r="CCJ48" s="952"/>
      <c r="CCK48" s="952"/>
      <c r="CCL48" s="952"/>
      <c r="CCM48" s="952"/>
      <c r="CCN48" s="952"/>
      <c r="CCO48" s="952"/>
      <c r="CCP48" s="952"/>
      <c r="CCQ48" s="952"/>
      <c r="CCR48" s="952"/>
      <c r="CCS48" s="952"/>
      <c r="CCT48" s="952"/>
      <c r="CCU48" s="952"/>
      <c r="CCV48" s="952"/>
      <c r="CCW48" s="952"/>
      <c r="CCX48" s="952"/>
      <c r="CCY48" s="952"/>
      <c r="CCZ48" s="952"/>
      <c r="CDA48" s="952"/>
      <c r="CDB48" s="952"/>
      <c r="CDC48" s="952"/>
      <c r="CDD48" s="952"/>
      <c r="CDE48" s="952"/>
      <c r="CDF48" s="952"/>
      <c r="CDG48" s="952"/>
      <c r="CDH48" s="952"/>
      <c r="CDI48" s="952"/>
      <c r="CDJ48" s="952"/>
      <c r="CDK48" s="952"/>
      <c r="CDL48" s="952"/>
      <c r="CDM48" s="952"/>
      <c r="CDN48" s="952"/>
      <c r="CDO48" s="952"/>
      <c r="CDP48" s="952"/>
      <c r="CDQ48" s="952"/>
      <c r="CDR48" s="952"/>
      <c r="CDS48" s="952"/>
      <c r="CDT48" s="952"/>
      <c r="CDU48" s="952"/>
      <c r="CDV48" s="952"/>
      <c r="CDW48" s="952"/>
      <c r="CDX48" s="952"/>
      <c r="CDY48" s="952"/>
      <c r="CDZ48" s="952"/>
      <c r="CEA48" s="952"/>
      <c r="CEB48" s="952"/>
      <c r="CEC48" s="952"/>
      <c r="CED48" s="952"/>
      <c r="CEE48" s="952"/>
      <c r="CEF48" s="952"/>
      <c r="CEG48" s="952"/>
      <c r="CEH48" s="952"/>
      <c r="CEI48" s="952"/>
      <c r="CEJ48" s="952"/>
      <c r="CEK48" s="952"/>
      <c r="CEL48" s="952"/>
      <c r="CEM48" s="952"/>
      <c r="CEN48" s="952"/>
      <c r="CEO48" s="952"/>
      <c r="CEP48" s="952"/>
      <c r="CEQ48" s="952"/>
      <c r="CER48" s="952"/>
      <c r="CES48" s="952"/>
      <c r="CET48" s="952"/>
      <c r="CEU48" s="952"/>
      <c r="CEV48" s="952"/>
      <c r="CEW48" s="952"/>
      <c r="CEX48" s="952"/>
      <c r="CEY48" s="952"/>
      <c r="CEZ48" s="952"/>
      <c r="CFA48" s="952"/>
      <c r="CFB48" s="952"/>
      <c r="CFC48" s="952"/>
      <c r="CFD48" s="952"/>
      <c r="CFE48" s="952"/>
      <c r="CFF48" s="952"/>
      <c r="CFG48" s="952"/>
      <c r="CFH48" s="952"/>
      <c r="CFI48" s="952"/>
      <c r="CFJ48" s="952"/>
      <c r="CFK48" s="952"/>
      <c r="CFL48" s="952"/>
      <c r="CFM48" s="952"/>
      <c r="CFN48" s="952"/>
      <c r="CFO48" s="952"/>
      <c r="CFP48" s="952"/>
      <c r="CFQ48" s="952"/>
      <c r="CFR48" s="952"/>
      <c r="CFS48" s="952"/>
      <c r="CFT48" s="952"/>
      <c r="CFU48" s="952"/>
      <c r="CFV48" s="952"/>
      <c r="CFW48" s="952"/>
      <c r="CFX48" s="952"/>
      <c r="CFY48" s="952"/>
      <c r="CFZ48" s="952"/>
      <c r="CGA48" s="952"/>
      <c r="CGB48" s="952"/>
      <c r="CGC48" s="952"/>
      <c r="CGD48" s="952"/>
      <c r="CGE48" s="952"/>
      <c r="CGF48" s="952"/>
      <c r="CGG48" s="952"/>
      <c r="CGH48" s="952"/>
      <c r="CGI48" s="952"/>
      <c r="CGJ48" s="952"/>
      <c r="CGK48" s="952"/>
      <c r="CGL48" s="952"/>
      <c r="CGM48" s="952"/>
      <c r="CGN48" s="952"/>
      <c r="CGO48" s="952"/>
      <c r="CGP48" s="952"/>
      <c r="CGQ48" s="952"/>
      <c r="CGR48" s="952"/>
      <c r="CGS48" s="952"/>
      <c r="CGT48" s="952"/>
      <c r="CGU48" s="952"/>
      <c r="CGV48" s="952"/>
      <c r="CGW48" s="952"/>
      <c r="CGX48" s="952"/>
      <c r="CGY48" s="952"/>
      <c r="CGZ48" s="952"/>
      <c r="CHA48" s="952"/>
      <c r="CHB48" s="952"/>
      <c r="CHC48" s="952"/>
      <c r="CHD48" s="952"/>
      <c r="CHE48" s="952"/>
      <c r="CHF48" s="952"/>
      <c r="CHG48" s="952"/>
      <c r="CHH48" s="952"/>
      <c r="CHI48" s="952"/>
      <c r="CHJ48" s="952"/>
      <c r="CHK48" s="952"/>
      <c r="CHL48" s="952"/>
      <c r="CHM48" s="952"/>
      <c r="CHN48" s="952"/>
      <c r="CHO48" s="952"/>
      <c r="CHP48" s="952"/>
      <c r="CHQ48" s="952"/>
      <c r="CHR48" s="952"/>
      <c r="CHS48" s="952"/>
      <c r="CHT48" s="952"/>
      <c r="CHU48" s="952"/>
      <c r="CHV48" s="952"/>
      <c r="CHW48" s="952"/>
      <c r="CHX48" s="952"/>
      <c r="CHY48" s="952"/>
      <c r="CHZ48" s="952"/>
      <c r="CIA48" s="952"/>
      <c r="CIB48" s="952"/>
      <c r="CIC48" s="952"/>
      <c r="CID48" s="952"/>
      <c r="CIE48" s="952"/>
      <c r="CIF48" s="952"/>
      <c r="CIG48" s="952"/>
      <c r="CIH48" s="952"/>
      <c r="CII48" s="952"/>
      <c r="CIJ48" s="952"/>
      <c r="CIK48" s="952"/>
      <c r="CIL48" s="952"/>
      <c r="CIM48" s="952"/>
      <c r="CIN48" s="952"/>
      <c r="CIO48" s="952"/>
      <c r="CIP48" s="952"/>
      <c r="CIQ48" s="952"/>
      <c r="CIR48" s="952"/>
      <c r="CIS48" s="952"/>
      <c r="CIT48" s="952"/>
      <c r="CIU48" s="952"/>
      <c r="CIV48" s="952"/>
      <c r="CIW48" s="952"/>
      <c r="CIX48" s="952"/>
      <c r="CIY48" s="952"/>
      <c r="CIZ48" s="952"/>
      <c r="CJA48" s="952"/>
      <c r="CJB48" s="952"/>
      <c r="CJC48" s="952"/>
      <c r="CJD48" s="952"/>
      <c r="CJE48" s="952"/>
      <c r="CJF48" s="952"/>
      <c r="CJG48" s="952"/>
      <c r="CJH48" s="952"/>
      <c r="CJI48" s="952"/>
      <c r="CJJ48" s="952"/>
      <c r="CJK48" s="952"/>
      <c r="CJL48" s="952"/>
      <c r="CJM48" s="952"/>
      <c r="CJN48" s="952"/>
      <c r="CJO48" s="952"/>
      <c r="CJP48" s="952"/>
      <c r="CJQ48" s="952"/>
      <c r="CJR48" s="952"/>
      <c r="CJS48" s="952"/>
      <c r="CJT48" s="952"/>
      <c r="CJU48" s="952"/>
      <c r="CJV48" s="952"/>
      <c r="CJW48" s="952"/>
      <c r="CJX48" s="952"/>
      <c r="CJY48" s="952"/>
      <c r="CJZ48" s="952"/>
      <c r="CKA48" s="952"/>
      <c r="CKB48" s="952"/>
      <c r="CKC48" s="952"/>
      <c r="CKD48" s="952"/>
      <c r="CKE48" s="952"/>
      <c r="CKF48" s="952"/>
      <c r="CKG48" s="952"/>
      <c r="CKH48" s="952"/>
      <c r="CKI48" s="952"/>
      <c r="CKJ48" s="952"/>
      <c r="CKK48" s="952"/>
      <c r="CKL48" s="952"/>
      <c r="CKM48" s="952"/>
      <c r="CKN48" s="952"/>
      <c r="CKO48" s="952"/>
      <c r="CKP48" s="952"/>
      <c r="CKQ48" s="952"/>
      <c r="CKR48" s="952"/>
      <c r="CKS48" s="952"/>
      <c r="CKT48" s="952"/>
      <c r="CKU48" s="952"/>
      <c r="CKV48" s="952"/>
      <c r="CKW48" s="952"/>
      <c r="CKX48" s="952"/>
      <c r="CKY48" s="952"/>
      <c r="CKZ48" s="952"/>
      <c r="CLA48" s="952"/>
      <c r="CLB48" s="952"/>
      <c r="CLC48" s="952"/>
      <c r="CLD48" s="952"/>
      <c r="CLE48" s="952"/>
      <c r="CLF48" s="952"/>
      <c r="CLG48" s="952"/>
      <c r="CLH48" s="952"/>
      <c r="CLI48" s="952"/>
      <c r="CLJ48" s="952"/>
      <c r="CLK48" s="952"/>
      <c r="CLL48" s="952"/>
      <c r="CLM48" s="952"/>
      <c r="CLN48" s="952"/>
      <c r="CLO48" s="952"/>
      <c r="CLP48" s="952"/>
      <c r="CLQ48" s="952"/>
      <c r="CLR48" s="952"/>
      <c r="CLS48" s="952"/>
      <c r="CLT48" s="952"/>
      <c r="CLU48" s="952"/>
      <c r="CLV48" s="952"/>
      <c r="CLW48" s="952"/>
      <c r="CLX48" s="952"/>
      <c r="CLY48" s="952"/>
      <c r="CLZ48" s="952"/>
      <c r="CMA48" s="952"/>
      <c r="CMB48" s="952"/>
      <c r="CMC48" s="952"/>
      <c r="CMD48" s="952"/>
      <c r="CME48" s="952"/>
      <c r="CMF48" s="952"/>
      <c r="CMG48" s="952"/>
      <c r="CMH48" s="952"/>
      <c r="CMI48" s="952"/>
      <c r="CMJ48" s="952"/>
      <c r="CMK48" s="952"/>
      <c r="CML48" s="952"/>
      <c r="CMM48" s="952"/>
      <c r="CMN48" s="952"/>
      <c r="CMO48" s="952"/>
      <c r="CMP48" s="952"/>
      <c r="CMQ48" s="952"/>
      <c r="CMR48" s="952"/>
      <c r="CMS48" s="952"/>
      <c r="CMT48" s="952"/>
      <c r="CMU48" s="952"/>
      <c r="CMV48" s="952"/>
      <c r="CMW48" s="952"/>
      <c r="CMX48" s="952"/>
      <c r="CMY48" s="952"/>
      <c r="CMZ48" s="952"/>
      <c r="CNA48" s="952"/>
      <c r="CNB48" s="952"/>
      <c r="CNC48" s="952"/>
      <c r="CND48" s="952"/>
      <c r="CNE48" s="952"/>
      <c r="CNF48" s="952"/>
      <c r="CNG48" s="952"/>
      <c r="CNH48" s="952"/>
      <c r="CNI48" s="952"/>
      <c r="CNJ48" s="952"/>
      <c r="CNK48" s="952"/>
      <c r="CNL48" s="952"/>
      <c r="CNM48" s="952"/>
      <c r="CNN48" s="952"/>
      <c r="CNO48" s="952"/>
      <c r="CNP48" s="952"/>
      <c r="CNQ48" s="952"/>
      <c r="CNR48" s="952"/>
      <c r="CNS48" s="952"/>
      <c r="CNT48" s="952"/>
      <c r="CNU48" s="952"/>
      <c r="CNV48" s="952"/>
      <c r="CNW48" s="952"/>
      <c r="CNX48" s="952"/>
      <c r="CNY48" s="952"/>
      <c r="CNZ48" s="952"/>
      <c r="COA48" s="952"/>
      <c r="COB48" s="952"/>
      <c r="COC48" s="952"/>
      <c r="COD48" s="952"/>
      <c r="COE48" s="952"/>
      <c r="COF48" s="952"/>
      <c r="COG48" s="952"/>
      <c r="COH48" s="952"/>
      <c r="COI48" s="952"/>
      <c r="COJ48" s="952"/>
      <c r="COK48" s="952"/>
      <c r="COL48" s="952"/>
      <c r="COM48" s="952"/>
      <c r="CON48" s="952"/>
      <c r="COO48" s="952"/>
      <c r="COP48" s="952"/>
      <c r="COQ48" s="952"/>
      <c r="COR48" s="952"/>
      <c r="COS48" s="952"/>
      <c r="COT48" s="952"/>
      <c r="COU48" s="952"/>
      <c r="COV48" s="952"/>
      <c r="COW48" s="952"/>
      <c r="COX48" s="952"/>
      <c r="COY48" s="952"/>
      <c r="COZ48" s="952"/>
      <c r="CPA48" s="952"/>
      <c r="CPB48" s="952"/>
      <c r="CPC48" s="952"/>
      <c r="CPD48" s="952"/>
      <c r="CPE48" s="952"/>
      <c r="CPF48" s="952"/>
      <c r="CPG48" s="952"/>
      <c r="CPH48" s="952"/>
      <c r="CPI48" s="952"/>
      <c r="CPJ48" s="952"/>
      <c r="CPK48" s="952"/>
      <c r="CPL48" s="952"/>
      <c r="CPM48" s="952"/>
      <c r="CPN48" s="952"/>
      <c r="CPO48" s="952"/>
      <c r="CPP48" s="952"/>
      <c r="CPQ48" s="952"/>
      <c r="CPR48" s="952"/>
      <c r="CPS48" s="952"/>
      <c r="CPT48" s="952"/>
      <c r="CPU48" s="952"/>
      <c r="CPV48" s="952"/>
      <c r="CPW48" s="952"/>
      <c r="CPX48" s="952"/>
      <c r="CPY48" s="952"/>
      <c r="CPZ48" s="952"/>
      <c r="CQA48" s="952"/>
      <c r="CQB48" s="952"/>
      <c r="CQC48" s="952"/>
      <c r="CQD48" s="952"/>
      <c r="CQE48" s="952"/>
      <c r="CQF48" s="952"/>
      <c r="CQG48" s="952"/>
      <c r="CQH48" s="952"/>
      <c r="CQI48" s="952"/>
      <c r="CQJ48" s="952"/>
      <c r="CQK48" s="952"/>
      <c r="CQL48" s="952"/>
      <c r="CQM48" s="952"/>
      <c r="CQN48" s="952"/>
      <c r="CQO48" s="952"/>
      <c r="CQP48" s="952"/>
      <c r="CQQ48" s="952"/>
      <c r="CQR48" s="952"/>
      <c r="CQS48" s="952"/>
      <c r="CQT48" s="952"/>
      <c r="CQU48" s="952"/>
      <c r="CQV48" s="952"/>
      <c r="CQW48" s="952"/>
      <c r="CQX48" s="952"/>
      <c r="CQY48" s="952"/>
      <c r="CQZ48" s="952"/>
      <c r="CRA48" s="952"/>
      <c r="CRB48" s="952"/>
      <c r="CRC48" s="952"/>
      <c r="CRD48" s="952"/>
      <c r="CRE48" s="952"/>
      <c r="CRF48" s="952"/>
      <c r="CRG48" s="952"/>
      <c r="CRH48" s="952"/>
      <c r="CRI48" s="952"/>
      <c r="CRJ48" s="952"/>
      <c r="CRK48" s="952"/>
      <c r="CRL48" s="952"/>
      <c r="CRM48" s="952"/>
      <c r="CRN48" s="952"/>
      <c r="CRO48" s="952"/>
      <c r="CRP48" s="952"/>
      <c r="CRQ48" s="952"/>
      <c r="CRR48" s="952"/>
      <c r="CRS48" s="952"/>
      <c r="CRT48" s="952"/>
      <c r="CRU48" s="952"/>
      <c r="CRV48" s="952"/>
      <c r="CRW48" s="952"/>
      <c r="CRX48" s="952"/>
      <c r="CRY48" s="952"/>
      <c r="CRZ48" s="952"/>
      <c r="CSA48" s="952"/>
      <c r="CSB48" s="952"/>
      <c r="CSC48" s="952"/>
      <c r="CSD48" s="952"/>
      <c r="CSE48" s="952"/>
      <c r="CSF48" s="952"/>
      <c r="CSG48" s="952"/>
      <c r="CSH48" s="952"/>
      <c r="CSI48" s="952"/>
      <c r="CSJ48" s="952"/>
      <c r="CSK48" s="952"/>
      <c r="CSL48" s="952"/>
      <c r="CSM48" s="952"/>
      <c r="CSN48" s="952"/>
      <c r="CSO48" s="952"/>
      <c r="CSP48" s="952"/>
      <c r="CSQ48" s="952"/>
      <c r="CSR48" s="952"/>
      <c r="CSS48" s="952"/>
      <c r="CST48" s="952"/>
      <c r="CSU48" s="952"/>
      <c r="CSV48" s="952"/>
      <c r="CSW48" s="952"/>
      <c r="CSX48" s="952"/>
      <c r="CSY48" s="952"/>
      <c r="CSZ48" s="952"/>
      <c r="CTA48" s="952"/>
      <c r="CTB48" s="952"/>
      <c r="CTC48" s="952"/>
      <c r="CTD48" s="952"/>
      <c r="CTE48" s="952"/>
      <c r="CTF48" s="952"/>
      <c r="CTG48" s="952"/>
      <c r="CTH48" s="952"/>
      <c r="CTI48" s="952"/>
      <c r="CTJ48" s="952"/>
      <c r="CTK48" s="952"/>
      <c r="CTL48" s="952"/>
      <c r="CTM48" s="952"/>
      <c r="CTN48" s="952"/>
      <c r="CTO48" s="952"/>
      <c r="CTP48" s="952"/>
      <c r="CTQ48" s="952"/>
      <c r="CTR48" s="952"/>
      <c r="CTS48" s="952"/>
      <c r="CTT48" s="952"/>
      <c r="CTU48" s="952"/>
      <c r="CTV48" s="952"/>
      <c r="CTW48" s="952"/>
      <c r="CTX48" s="952"/>
      <c r="CTY48" s="952"/>
      <c r="CTZ48" s="952"/>
      <c r="CUA48" s="952"/>
      <c r="CUB48" s="952"/>
      <c r="CUC48" s="952"/>
      <c r="CUD48" s="952"/>
      <c r="CUE48" s="952"/>
      <c r="CUF48" s="952"/>
      <c r="CUG48" s="952"/>
      <c r="CUH48" s="952"/>
      <c r="CUI48" s="952"/>
      <c r="CUJ48" s="952"/>
      <c r="CUK48" s="952"/>
      <c r="CUL48" s="952"/>
      <c r="CUM48" s="952"/>
      <c r="CUN48" s="952"/>
      <c r="CUO48" s="952"/>
      <c r="CUP48" s="952"/>
      <c r="CUQ48" s="952"/>
      <c r="CUR48" s="952"/>
      <c r="CUS48" s="952"/>
      <c r="CUT48" s="952"/>
      <c r="CUU48" s="952"/>
      <c r="CUV48" s="952"/>
      <c r="CUW48" s="952"/>
      <c r="CUX48" s="952"/>
      <c r="CUY48" s="952"/>
      <c r="CUZ48" s="952"/>
      <c r="CVA48" s="952"/>
      <c r="CVB48" s="952"/>
      <c r="CVC48" s="952"/>
      <c r="CVD48" s="952"/>
      <c r="CVE48" s="952"/>
      <c r="CVF48" s="952"/>
      <c r="CVG48" s="952"/>
      <c r="CVH48" s="952"/>
      <c r="CVI48" s="952"/>
      <c r="CVJ48" s="952"/>
      <c r="CVK48" s="952"/>
      <c r="CVL48" s="952"/>
      <c r="CVM48" s="952"/>
      <c r="CVN48" s="952"/>
      <c r="CVO48" s="952"/>
      <c r="CVP48" s="952"/>
      <c r="CVQ48" s="952"/>
      <c r="CVR48" s="952"/>
      <c r="CVS48" s="952"/>
      <c r="CVT48" s="952"/>
      <c r="CVU48" s="952"/>
      <c r="CVV48" s="952"/>
      <c r="CVW48" s="952"/>
      <c r="CVX48" s="952"/>
      <c r="CVY48" s="952"/>
      <c r="CVZ48" s="952"/>
      <c r="CWA48" s="952"/>
      <c r="CWB48" s="952"/>
      <c r="CWC48" s="952"/>
      <c r="CWD48" s="952"/>
      <c r="CWE48" s="952"/>
      <c r="CWF48" s="952"/>
      <c r="CWG48" s="952"/>
      <c r="CWH48" s="952"/>
      <c r="CWI48" s="952"/>
      <c r="CWJ48" s="952"/>
      <c r="CWK48" s="952"/>
      <c r="CWL48" s="952"/>
      <c r="CWM48" s="952"/>
      <c r="CWN48" s="952"/>
      <c r="CWO48" s="952"/>
      <c r="CWP48" s="952"/>
      <c r="CWQ48" s="952"/>
      <c r="CWR48" s="952"/>
      <c r="CWS48" s="952"/>
      <c r="CWT48" s="952"/>
      <c r="CWU48" s="952"/>
      <c r="CWV48" s="952"/>
      <c r="CWW48" s="952"/>
      <c r="CWX48" s="952"/>
      <c r="CWY48" s="952"/>
      <c r="CWZ48" s="952"/>
      <c r="CXA48" s="952"/>
      <c r="CXB48" s="952"/>
      <c r="CXC48" s="952"/>
      <c r="CXD48" s="952"/>
      <c r="CXE48" s="952"/>
      <c r="CXF48" s="952"/>
      <c r="CXG48" s="952"/>
      <c r="CXH48" s="952"/>
      <c r="CXI48" s="952"/>
      <c r="CXJ48" s="952"/>
      <c r="CXK48" s="952"/>
      <c r="CXL48" s="952"/>
      <c r="CXM48" s="952"/>
      <c r="CXN48" s="952"/>
      <c r="CXO48" s="952"/>
      <c r="CXP48" s="952"/>
      <c r="CXQ48" s="952"/>
      <c r="CXR48" s="952"/>
      <c r="CXS48" s="952"/>
      <c r="CXT48" s="952"/>
      <c r="CXU48" s="952"/>
      <c r="CXV48" s="952"/>
      <c r="CXW48" s="952"/>
      <c r="CXX48" s="952"/>
      <c r="CXY48" s="952"/>
      <c r="CXZ48" s="952"/>
      <c r="CYA48" s="952"/>
      <c r="CYB48" s="952"/>
      <c r="CYC48" s="952"/>
      <c r="CYD48" s="952"/>
      <c r="CYE48" s="952"/>
      <c r="CYF48" s="952"/>
      <c r="CYG48" s="952"/>
      <c r="CYH48" s="952"/>
      <c r="CYI48" s="952"/>
      <c r="CYJ48" s="952"/>
      <c r="CYK48" s="952"/>
      <c r="CYL48" s="952"/>
      <c r="CYM48" s="952"/>
      <c r="CYN48" s="952"/>
      <c r="CYO48" s="952"/>
      <c r="CYP48" s="952"/>
      <c r="CYQ48" s="952"/>
      <c r="CYR48" s="952"/>
      <c r="CYS48" s="952"/>
      <c r="CYT48" s="952"/>
      <c r="CYU48" s="952"/>
      <c r="CYV48" s="952"/>
      <c r="CYW48" s="952"/>
      <c r="CYX48" s="952"/>
      <c r="CYY48" s="952"/>
      <c r="CYZ48" s="952"/>
      <c r="CZA48" s="952"/>
      <c r="CZB48" s="952"/>
      <c r="CZC48" s="952"/>
      <c r="CZD48" s="952"/>
      <c r="CZE48" s="952"/>
      <c r="CZF48" s="952"/>
      <c r="CZG48" s="952"/>
      <c r="CZH48" s="952"/>
      <c r="CZI48" s="952"/>
      <c r="CZJ48" s="952"/>
      <c r="CZK48" s="952"/>
      <c r="CZL48" s="952"/>
      <c r="CZM48" s="952"/>
      <c r="CZN48" s="952"/>
      <c r="CZO48" s="952"/>
      <c r="CZP48" s="952"/>
      <c r="CZQ48" s="952"/>
      <c r="CZR48" s="952"/>
      <c r="CZS48" s="952"/>
      <c r="CZT48" s="952"/>
      <c r="CZU48" s="952"/>
      <c r="CZV48" s="952"/>
      <c r="CZW48" s="952"/>
      <c r="CZX48" s="952"/>
      <c r="CZY48" s="952"/>
      <c r="CZZ48" s="952"/>
      <c r="DAA48" s="952"/>
      <c r="DAB48" s="952"/>
      <c r="DAC48" s="952"/>
      <c r="DAD48" s="952"/>
      <c r="DAE48" s="952"/>
      <c r="DAF48" s="952"/>
      <c r="DAG48" s="952"/>
      <c r="DAH48" s="952"/>
      <c r="DAI48" s="952"/>
      <c r="DAJ48" s="952"/>
      <c r="DAK48" s="952"/>
      <c r="DAL48" s="952"/>
      <c r="DAM48" s="952"/>
      <c r="DAN48" s="952"/>
      <c r="DAO48" s="952"/>
      <c r="DAP48" s="952"/>
      <c r="DAQ48" s="952"/>
      <c r="DAR48" s="952"/>
      <c r="DAS48" s="952"/>
      <c r="DAT48" s="952"/>
      <c r="DAU48" s="952"/>
      <c r="DAV48" s="952"/>
      <c r="DAW48" s="952"/>
      <c r="DAX48" s="952"/>
      <c r="DAY48" s="952"/>
      <c r="DAZ48" s="952"/>
      <c r="DBA48" s="952"/>
      <c r="DBB48" s="952"/>
      <c r="DBC48" s="952"/>
      <c r="DBD48" s="952"/>
      <c r="DBE48" s="952"/>
      <c r="DBF48" s="952"/>
      <c r="DBG48" s="952"/>
      <c r="DBH48" s="952"/>
      <c r="DBI48" s="952"/>
      <c r="DBJ48" s="952"/>
      <c r="DBK48" s="952"/>
      <c r="DBL48" s="952"/>
      <c r="DBM48" s="952"/>
      <c r="DBN48" s="952"/>
      <c r="DBO48" s="952"/>
      <c r="DBP48" s="952"/>
      <c r="DBQ48" s="952"/>
      <c r="DBR48" s="952"/>
      <c r="DBS48" s="952"/>
      <c r="DBT48" s="952"/>
      <c r="DBU48" s="952"/>
      <c r="DBV48" s="952"/>
      <c r="DBW48" s="952"/>
      <c r="DBX48" s="952"/>
      <c r="DBY48" s="952"/>
      <c r="DBZ48" s="952"/>
      <c r="DCA48" s="952"/>
      <c r="DCB48" s="952"/>
      <c r="DCC48" s="952"/>
      <c r="DCD48" s="952"/>
      <c r="DCE48" s="952"/>
      <c r="DCF48" s="952"/>
      <c r="DCG48" s="952"/>
      <c r="DCH48" s="952"/>
      <c r="DCI48" s="952"/>
      <c r="DCJ48" s="952"/>
      <c r="DCK48" s="952"/>
      <c r="DCL48" s="952"/>
      <c r="DCM48" s="952"/>
      <c r="DCN48" s="952"/>
      <c r="DCO48" s="952"/>
      <c r="DCP48" s="952"/>
      <c r="DCQ48" s="952"/>
      <c r="DCR48" s="952"/>
      <c r="DCS48" s="952"/>
      <c r="DCT48" s="952"/>
      <c r="DCU48" s="952"/>
      <c r="DCV48" s="952"/>
      <c r="DCW48" s="952"/>
      <c r="DCX48" s="952"/>
      <c r="DCY48" s="952"/>
      <c r="DCZ48" s="952"/>
      <c r="DDA48" s="952"/>
      <c r="DDB48" s="952"/>
      <c r="DDC48" s="952"/>
      <c r="DDD48" s="952"/>
      <c r="DDE48" s="952"/>
      <c r="DDF48" s="952"/>
      <c r="DDG48" s="952"/>
      <c r="DDH48" s="952"/>
      <c r="DDI48" s="952"/>
      <c r="DDJ48" s="952"/>
      <c r="DDK48" s="952"/>
      <c r="DDL48" s="952"/>
      <c r="DDM48" s="952"/>
      <c r="DDN48" s="952"/>
      <c r="DDO48" s="952"/>
      <c r="DDP48" s="952"/>
      <c r="DDQ48" s="952"/>
      <c r="DDR48" s="952"/>
      <c r="DDS48" s="952"/>
      <c r="DDT48" s="952"/>
      <c r="DDU48" s="952"/>
      <c r="DDV48" s="952"/>
      <c r="DDW48" s="952"/>
      <c r="DDX48" s="952"/>
      <c r="DDY48" s="952"/>
      <c r="DDZ48" s="952"/>
      <c r="DEA48" s="952"/>
      <c r="DEB48" s="952"/>
      <c r="DEC48" s="952"/>
      <c r="DED48" s="952"/>
      <c r="DEE48" s="952"/>
      <c r="DEF48" s="952"/>
      <c r="DEG48" s="952"/>
      <c r="DEH48" s="952"/>
      <c r="DEI48" s="952"/>
      <c r="DEJ48" s="952"/>
      <c r="DEK48" s="952"/>
      <c r="DEL48" s="952"/>
      <c r="DEM48" s="952"/>
      <c r="DEN48" s="952"/>
      <c r="DEO48" s="952"/>
      <c r="DEP48" s="952"/>
      <c r="DEQ48" s="952"/>
      <c r="DER48" s="952"/>
      <c r="DES48" s="952"/>
      <c r="DET48" s="952"/>
      <c r="DEU48" s="952"/>
      <c r="DEV48" s="952"/>
      <c r="DEW48" s="952"/>
      <c r="DEX48" s="952"/>
      <c r="DEY48" s="952"/>
      <c r="DEZ48" s="952"/>
      <c r="DFA48" s="952"/>
      <c r="DFB48" s="952"/>
      <c r="DFC48" s="952"/>
      <c r="DFD48" s="952"/>
      <c r="DFE48" s="952"/>
      <c r="DFF48" s="952"/>
      <c r="DFG48" s="952"/>
      <c r="DFH48" s="952"/>
      <c r="DFI48" s="952"/>
      <c r="DFJ48" s="952"/>
      <c r="DFK48" s="952"/>
      <c r="DFL48" s="952"/>
      <c r="DFM48" s="952"/>
      <c r="DFN48" s="952"/>
      <c r="DFO48" s="952"/>
      <c r="DFP48" s="952"/>
      <c r="DFQ48" s="952"/>
      <c r="DFR48" s="952"/>
      <c r="DFS48" s="952"/>
      <c r="DFT48" s="952"/>
      <c r="DFU48" s="952"/>
      <c r="DFV48" s="952"/>
      <c r="DFW48" s="952"/>
      <c r="DFX48" s="952"/>
      <c r="DFY48" s="952"/>
      <c r="DFZ48" s="952"/>
      <c r="DGA48" s="952"/>
      <c r="DGB48" s="952"/>
      <c r="DGC48" s="952"/>
      <c r="DGD48" s="952"/>
      <c r="DGE48" s="952"/>
      <c r="DGF48" s="952"/>
      <c r="DGG48" s="952"/>
      <c r="DGH48" s="952"/>
      <c r="DGI48" s="952"/>
      <c r="DGJ48" s="952"/>
      <c r="DGK48" s="952"/>
      <c r="DGL48" s="952"/>
      <c r="DGM48" s="952"/>
      <c r="DGN48" s="952"/>
      <c r="DGO48" s="952"/>
      <c r="DGP48" s="952"/>
      <c r="DGQ48" s="952"/>
      <c r="DGR48" s="952"/>
      <c r="DGS48" s="952"/>
      <c r="DGT48" s="952"/>
      <c r="DGU48" s="952"/>
      <c r="DGV48" s="952"/>
      <c r="DGW48" s="952"/>
      <c r="DGX48" s="952"/>
      <c r="DGY48" s="952"/>
      <c r="DGZ48" s="952"/>
      <c r="DHA48" s="952"/>
      <c r="DHB48" s="952"/>
      <c r="DHC48" s="952"/>
      <c r="DHD48" s="952"/>
      <c r="DHE48" s="952"/>
      <c r="DHF48" s="952"/>
      <c r="DHG48" s="952"/>
      <c r="DHH48" s="952"/>
      <c r="DHI48" s="952"/>
      <c r="DHJ48" s="952"/>
      <c r="DHK48" s="952"/>
      <c r="DHL48" s="952"/>
      <c r="DHM48" s="952"/>
      <c r="DHN48" s="952"/>
      <c r="DHO48" s="952"/>
      <c r="DHP48" s="952"/>
      <c r="DHQ48" s="952"/>
      <c r="DHR48" s="952"/>
      <c r="DHS48" s="952"/>
      <c r="DHT48" s="952"/>
      <c r="DHU48" s="952"/>
      <c r="DHV48" s="952"/>
      <c r="DHW48" s="952"/>
      <c r="DHX48" s="952"/>
      <c r="DHY48" s="952"/>
      <c r="DHZ48" s="952"/>
      <c r="DIA48" s="952"/>
      <c r="DIB48" s="952"/>
      <c r="DIC48" s="952"/>
      <c r="DID48" s="952"/>
      <c r="DIE48" s="952"/>
      <c r="DIF48" s="952"/>
      <c r="DIG48" s="952"/>
      <c r="DIH48" s="952"/>
      <c r="DII48" s="952"/>
      <c r="DIJ48" s="952"/>
      <c r="DIK48" s="952"/>
      <c r="DIL48" s="952"/>
      <c r="DIM48" s="952"/>
      <c r="DIN48" s="952"/>
      <c r="DIO48" s="952"/>
      <c r="DIP48" s="952"/>
      <c r="DIQ48" s="952"/>
      <c r="DIR48" s="952"/>
      <c r="DIS48" s="952"/>
      <c r="DIT48" s="952"/>
      <c r="DIU48" s="952"/>
      <c r="DIV48" s="952"/>
      <c r="DIW48" s="952"/>
      <c r="DIX48" s="952"/>
      <c r="DIY48" s="952"/>
      <c r="DIZ48" s="952"/>
      <c r="DJA48" s="952"/>
      <c r="DJB48" s="952"/>
      <c r="DJC48" s="952"/>
      <c r="DJD48" s="952"/>
      <c r="DJE48" s="952"/>
      <c r="DJF48" s="952"/>
      <c r="DJG48" s="952"/>
      <c r="DJH48" s="952"/>
      <c r="DJI48" s="952"/>
      <c r="DJJ48" s="952"/>
      <c r="DJK48" s="952"/>
      <c r="DJL48" s="952"/>
      <c r="DJM48" s="952"/>
      <c r="DJN48" s="952"/>
      <c r="DJO48" s="952"/>
      <c r="DJP48" s="952"/>
      <c r="DJQ48" s="952"/>
      <c r="DJR48" s="952"/>
      <c r="DJS48" s="952"/>
      <c r="DJT48" s="952"/>
      <c r="DJU48" s="952"/>
      <c r="DJV48" s="952"/>
      <c r="DJW48" s="952"/>
      <c r="DJX48" s="952"/>
      <c r="DJY48" s="952"/>
      <c r="DJZ48" s="952"/>
      <c r="DKA48" s="952"/>
      <c r="DKB48" s="952"/>
      <c r="DKC48" s="952"/>
      <c r="DKD48" s="952"/>
      <c r="DKE48" s="952"/>
      <c r="DKF48" s="952"/>
      <c r="DKG48" s="952"/>
      <c r="DKH48" s="952"/>
      <c r="DKI48" s="952"/>
      <c r="DKJ48" s="952"/>
      <c r="DKK48" s="952"/>
      <c r="DKL48" s="952"/>
      <c r="DKM48" s="952"/>
      <c r="DKN48" s="952"/>
      <c r="DKO48" s="952"/>
      <c r="DKP48" s="952"/>
      <c r="DKQ48" s="952"/>
      <c r="DKR48" s="952"/>
      <c r="DKS48" s="952"/>
      <c r="DKT48" s="952"/>
      <c r="DKU48" s="952"/>
      <c r="DKV48" s="952"/>
      <c r="DKW48" s="952"/>
      <c r="DKX48" s="952"/>
      <c r="DKY48" s="952"/>
      <c r="DKZ48" s="952"/>
      <c r="DLA48" s="952"/>
      <c r="DLB48" s="952"/>
      <c r="DLC48" s="952"/>
      <c r="DLD48" s="952"/>
      <c r="DLE48" s="952"/>
      <c r="DLF48" s="952"/>
      <c r="DLG48" s="952"/>
      <c r="DLH48" s="952"/>
      <c r="DLI48" s="952"/>
      <c r="DLJ48" s="952"/>
      <c r="DLK48" s="952"/>
      <c r="DLL48" s="952"/>
      <c r="DLM48" s="952"/>
      <c r="DLN48" s="952"/>
      <c r="DLO48" s="952"/>
      <c r="DLP48" s="952"/>
      <c r="DLQ48" s="952"/>
      <c r="DLR48" s="952"/>
      <c r="DLS48" s="952"/>
      <c r="DLT48" s="952"/>
      <c r="DLU48" s="952"/>
      <c r="DLV48" s="952"/>
      <c r="DLW48" s="952"/>
      <c r="DLX48" s="952"/>
      <c r="DLY48" s="952"/>
      <c r="DLZ48" s="952"/>
      <c r="DMA48" s="952"/>
      <c r="DMB48" s="952"/>
      <c r="DMC48" s="952"/>
      <c r="DMD48" s="952"/>
      <c r="DME48" s="952"/>
      <c r="DMF48" s="952"/>
      <c r="DMG48" s="952"/>
      <c r="DMH48" s="952"/>
      <c r="DMI48" s="952"/>
      <c r="DMJ48" s="952"/>
      <c r="DMK48" s="952"/>
      <c r="DML48" s="952"/>
      <c r="DMM48" s="952"/>
      <c r="DMN48" s="952"/>
      <c r="DMO48" s="952"/>
      <c r="DMP48" s="952"/>
      <c r="DMQ48" s="952"/>
      <c r="DMR48" s="952"/>
      <c r="DMS48" s="952"/>
      <c r="DMT48" s="952"/>
      <c r="DMU48" s="952"/>
      <c r="DMV48" s="952"/>
      <c r="DMW48" s="952"/>
      <c r="DMX48" s="952"/>
      <c r="DMY48" s="952"/>
      <c r="DMZ48" s="952"/>
      <c r="DNA48" s="952"/>
      <c r="DNB48" s="952"/>
      <c r="DNC48" s="952"/>
      <c r="DND48" s="952"/>
      <c r="DNE48" s="952"/>
      <c r="DNF48" s="952"/>
      <c r="DNG48" s="952"/>
      <c r="DNH48" s="952"/>
      <c r="DNI48" s="952"/>
      <c r="DNJ48" s="952"/>
      <c r="DNK48" s="952"/>
      <c r="DNL48" s="952"/>
      <c r="DNM48" s="952"/>
      <c r="DNN48" s="952"/>
      <c r="DNO48" s="952"/>
      <c r="DNP48" s="952"/>
      <c r="DNQ48" s="952"/>
      <c r="DNR48" s="952"/>
      <c r="DNS48" s="952"/>
      <c r="DNT48" s="952"/>
      <c r="DNU48" s="952"/>
      <c r="DNV48" s="952"/>
      <c r="DNW48" s="952"/>
      <c r="DNX48" s="952"/>
      <c r="DNY48" s="952"/>
      <c r="DNZ48" s="952"/>
      <c r="DOA48" s="952"/>
      <c r="DOB48" s="952"/>
      <c r="DOC48" s="952"/>
      <c r="DOD48" s="952"/>
      <c r="DOE48" s="952"/>
      <c r="DOF48" s="952"/>
      <c r="DOG48" s="952"/>
      <c r="DOH48" s="952"/>
      <c r="DOI48" s="952"/>
      <c r="DOJ48" s="952"/>
      <c r="DOK48" s="952"/>
      <c r="DOL48" s="952"/>
      <c r="DOM48" s="952"/>
      <c r="DON48" s="952"/>
      <c r="DOO48" s="952"/>
      <c r="DOP48" s="952"/>
      <c r="DOQ48" s="952"/>
      <c r="DOR48" s="952"/>
      <c r="DOS48" s="952"/>
      <c r="DOT48" s="952"/>
      <c r="DOU48" s="952"/>
      <c r="DOV48" s="952"/>
      <c r="DOW48" s="952"/>
      <c r="DOX48" s="952"/>
      <c r="DOY48" s="952"/>
      <c r="DOZ48" s="952"/>
      <c r="DPA48" s="952"/>
      <c r="DPB48" s="952"/>
      <c r="DPC48" s="952"/>
      <c r="DPD48" s="952"/>
      <c r="DPE48" s="952"/>
      <c r="DPF48" s="952"/>
      <c r="DPG48" s="952"/>
      <c r="DPH48" s="952"/>
      <c r="DPI48" s="952"/>
      <c r="DPJ48" s="952"/>
      <c r="DPK48" s="952"/>
      <c r="DPL48" s="952"/>
      <c r="DPM48" s="952"/>
      <c r="DPN48" s="952"/>
      <c r="DPO48" s="952"/>
      <c r="DPP48" s="952"/>
      <c r="DPQ48" s="952"/>
      <c r="DPR48" s="952"/>
      <c r="DPS48" s="952"/>
      <c r="DPT48" s="952"/>
      <c r="DPU48" s="952"/>
      <c r="DPV48" s="952"/>
      <c r="DPW48" s="952"/>
      <c r="DPX48" s="952"/>
      <c r="DPY48" s="952"/>
      <c r="DPZ48" s="952"/>
      <c r="DQA48" s="952"/>
      <c r="DQB48" s="952"/>
      <c r="DQC48" s="952"/>
      <c r="DQD48" s="952"/>
      <c r="DQE48" s="952"/>
      <c r="DQF48" s="952"/>
      <c r="DQG48" s="952"/>
      <c r="DQH48" s="952"/>
      <c r="DQI48" s="952"/>
      <c r="DQJ48" s="952"/>
      <c r="DQK48" s="952"/>
      <c r="DQL48" s="952"/>
      <c r="DQM48" s="952"/>
      <c r="DQN48" s="952"/>
      <c r="DQO48" s="952"/>
      <c r="DQP48" s="952"/>
      <c r="DQQ48" s="952"/>
      <c r="DQR48" s="952"/>
      <c r="DQS48" s="952"/>
      <c r="DQT48" s="952"/>
      <c r="DQU48" s="952"/>
      <c r="DQV48" s="952"/>
      <c r="DQW48" s="952"/>
      <c r="DQX48" s="952"/>
      <c r="DQY48" s="952"/>
      <c r="DQZ48" s="952"/>
      <c r="DRA48" s="952"/>
      <c r="DRB48" s="952"/>
      <c r="DRC48" s="952"/>
      <c r="DRD48" s="952"/>
      <c r="DRE48" s="952"/>
      <c r="DRF48" s="952"/>
      <c r="DRG48" s="952"/>
      <c r="DRH48" s="952"/>
      <c r="DRI48" s="952"/>
      <c r="DRJ48" s="952"/>
      <c r="DRK48" s="952"/>
      <c r="DRL48" s="952"/>
      <c r="DRM48" s="952"/>
      <c r="DRN48" s="952"/>
      <c r="DRO48" s="952"/>
      <c r="DRP48" s="952"/>
      <c r="DRQ48" s="952"/>
      <c r="DRR48" s="952"/>
      <c r="DRS48" s="952"/>
      <c r="DRT48" s="952"/>
      <c r="DRU48" s="952"/>
      <c r="DRV48" s="952"/>
      <c r="DRW48" s="952"/>
      <c r="DRX48" s="952"/>
      <c r="DRY48" s="952"/>
      <c r="DRZ48" s="952"/>
      <c r="DSA48" s="952"/>
      <c r="DSB48" s="952"/>
      <c r="DSC48" s="952"/>
      <c r="DSD48" s="952"/>
      <c r="DSE48" s="952"/>
      <c r="DSF48" s="952"/>
      <c r="DSG48" s="952"/>
      <c r="DSH48" s="952"/>
      <c r="DSI48" s="952"/>
      <c r="DSJ48" s="952"/>
      <c r="DSK48" s="952"/>
      <c r="DSL48" s="952"/>
      <c r="DSM48" s="952"/>
      <c r="DSN48" s="952"/>
      <c r="DSO48" s="952"/>
      <c r="DSP48" s="952"/>
      <c r="DSQ48" s="952"/>
      <c r="DSR48" s="952"/>
      <c r="DSS48" s="952"/>
      <c r="DST48" s="952"/>
      <c r="DSU48" s="952"/>
      <c r="DSV48" s="952"/>
      <c r="DSW48" s="952"/>
      <c r="DSX48" s="952"/>
      <c r="DSY48" s="952"/>
      <c r="DSZ48" s="952"/>
      <c r="DTA48" s="952"/>
      <c r="DTB48" s="952"/>
      <c r="DTC48" s="952"/>
      <c r="DTD48" s="952"/>
      <c r="DTE48" s="952"/>
      <c r="DTF48" s="952"/>
      <c r="DTG48" s="952"/>
      <c r="DTH48" s="952"/>
      <c r="DTI48" s="952"/>
      <c r="DTJ48" s="952"/>
      <c r="DTK48" s="952"/>
      <c r="DTL48" s="952"/>
      <c r="DTM48" s="952"/>
      <c r="DTN48" s="952"/>
      <c r="DTO48" s="952"/>
      <c r="DTP48" s="952"/>
      <c r="DTQ48" s="952"/>
      <c r="DTR48" s="952"/>
      <c r="DTS48" s="952"/>
      <c r="DTT48" s="952"/>
      <c r="DTU48" s="952"/>
      <c r="DTV48" s="952"/>
      <c r="DTW48" s="952"/>
      <c r="DTX48" s="952"/>
      <c r="DTY48" s="952"/>
      <c r="DTZ48" s="952"/>
      <c r="DUA48" s="952"/>
      <c r="DUB48" s="952"/>
      <c r="DUC48" s="952"/>
      <c r="DUD48" s="952"/>
      <c r="DUE48" s="952"/>
      <c r="DUF48" s="952"/>
      <c r="DUG48" s="952"/>
      <c r="DUH48" s="952"/>
      <c r="DUI48" s="952"/>
      <c r="DUJ48" s="952"/>
      <c r="DUK48" s="952"/>
      <c r="DUL48" s="952"/>
      <c r="DUM48" s="952"/>
      <c r="DUN48" s="952"/>
      <c r="DUO48" s="952"/>
      <c r="DUP48" s="952"/>
      <c r="DUQ48" s="952"/>
      <c r="DUR48" s="952"/>
      <c r="DUS48" s="952"/>
      <c r="DUT48" s="952"/>
      <c r="DUU48" s="952"/>
      <c r="DUV48" s="952"/>
      <c r="DUW48" s="952"/>
      <c r="DUX48" s="952"/>
      <c r="DUY48" s="952"/>
      <c r="DUZ48" s="952"/>
      <c r="DVA48" s="952"/>
      <c r="DVB48" s="952"/>
      <c r="DVC48" s="952"/>
      <c r="DVD48" s="952"/>
      <c r="DVE48" s="952"/>
      <c r="DVF48" s="952"/>
      <c r="DVG48" s="952"/>
      <c r="DVH48" s="952"/>
      <c r="DVI48" s="952"/>
      <c r="DVJ48" s="952"/>
      <c r="DVK48" s="952"/>
      <c r="DVL48" s="952"/>
      <c r="DVM48" s="952"/>
      <c r="DVN48" s="952"/>
      <c r="DVO48" s="952"/>
      <c r="DVP48" s="952"/>
      <c r="DVQ48" s="952"/>
      <c r="DVR48" s="952"/>
      <c r="DVS48" s="952"/>
      <c r="DVT48" s="952"/>
      <c r="DVU48" s="952"/>
      <c r="DVV48" s="952"/>
      <c r="DVW48" s="952"/>
      <c r="DVX48" s="952"/>
      <c r="DVY48" s="952"/>
      <c r="DVZ48" s="952"/>
      <c r="DWA48" s="952"/>
      <c r="DWB48" s="952"/>
      <c r="DWC48" s="952"/>
      <c r="DWD48" s="952"/>
      <c r="DWE48" s="952"/>
      <c r="DWF48" s="952"/>
      <c r="DWG48" s="952"/>
      <c r="DWH48" s="952"/>
      <c r="DWI48" s="952"/>
      <c r="DWJ48" s="952"/>
      <c r="DWK48" s="952"/>
      <c r="DWL48" s="952"/>
      <c r="DWM48" s="952"/>
      <c r="DWN48" s="952"/>
      <c r="DWO48" s="952"/>
      <c r="DWP48" s="952"/>
      <c r="DWQ48" s="952"/>
      <c r="DWR48" s="952"/>
      <c r="DWS48" s="952"/>
      <c r="DWT48" s="952"/>
      <c r="DWU48" s="952"/>
      <c r="DWV48" s="952"/>
      <c r="DWW48" s="952"/>
      <c r="DWX48" s="952"/>
      <c r="DWY48" s="952"/>
      <c r="DWZ48" s="952"/>
      <c r="DXA48" s="952"/>
      <c r="DXB48" s="952"/>
      <c r="DXC48" s="952"/>
      <c r="DXD48" s="952"/>
      <c r="DXE48" s="952"/>
      <c r="DXF48" s="952"/>
      <c r="DXG48" s="952"/>
      <c r="DXH48" s="952"/>
      <c r="DXI48" s="952"/>
      <c r="DXJ48" s="952"/>
      <c r="DXK48" s="952"/>
      <c r="DXL48" s="952"/>
      <c r="DXM48" s="952"/>
      <c r="DXN48" s="952"/>
      <c r="DXO48" s="952"/>
      <c r="DXP48" s="952"/>
      <c r="DXQ48" s="952"/>
      <c r="DXR48" s="952"/>
      <c r="DXS48" s="952"/>
      <c r="DXT48" s="952"/>
      <c r="DXU48" s="952"/>
      <c r="DXV48" s="952"/>
      <c r="DXW48" s="952"/>
      <c r="DXX48" s="952"/>
      <c r="DXY48" s="952"/>
      <c r="DXZ48" s="952"/>
      <c r="DYA48" s="952"/>
      <c r="DYB48" s="952"/>
      <c r="DYC48" s="952"/>
      <c r="DYD48" s="952"/>
      <c r="DYE48" s="952"/>
      <c r="DYF48" s="952"/>
      <c r="DYG48" s="952"/>
      <c r="DYH48" s="952"/>
      <c r="DYI48" s="952"/>
      <c r="DYJ48" s="952"/>
      <c r="DYK48" s="952"/>
      <c r="DYL48" s="952"/>
      <c r="DYM48" s="952"/>
      <c r="DYN48" s="952"/>
      <c r="DYO48" s="952"/>
      <c r="DYP48" s="952"/>
      <c r="DYQ48" s="952"/>
      <c r="DYR48" s="952"/>
      <c r="DYS48" s="952"/>
      <c r="DYT48" s="952"/>
      <c r="DYU48" s="952"/>
      <c r="DYV48" s="952"/>
      <c r="DYW48" s="952"/>
      <c r="DYX48" s="952"/>
      <c r="DYY48" s="952"/>
      <c r="DYZ48" s="952"/>
      <c r="DZA48" s="952"/>
      <c r="DZB48" s="952"/>
      <c r="DZC48" s="952"/>
      <c r="DZD48" s="952"/>
      <c r="DZE48" s="952"/>
      <c r="DZF48" s="952"/>
      <c r="DZG48" s="952"/>
      <c r="DZH48" s="952"/>
      <c r="DZI48" s="952"/>
      <c r="DZJ48" s="952"/>
      <c r="DZK48" s="952"/>
      <c r="DZL48" s="952"/>
      <c r="DZM48" s="952"/>
      <c r="DZN48" s="952"/>
      <c r="DZO48" s="952"/>
      <c r="DZP48" s="952"/>
      <c r="DZQ48" s="952"/>
      <c r="DZR48" s="952"/>
      <c r="DZS48" s="952"/>
      <c r="DZT48" s="952"/>
      <c r="DZU48" s="952"/>
      <c r="DZV48" s="952"/>
      <c r="DZW48" s="952"/>
      <c r="DZX48" s="952"/>
      <c r="DZY48" s="952"/>
      <c r="DZZ48" s="952"/>
      <c r="EAA48" s="952"/>
      <c r="EAB48" s="952"/>
      <c r="EAC48" s="952"/>
      <c r="EAD48" s="952"/>
      <c r="EAE48" s="952"/>
      <c r="EAF48" s="952"/>
      <c r="EAG48" s="952"/>
      <c r="EAH48" s="952"/>
      <c r="EAI48" s="952"/>
      <c r="EAJ48" s="952"/>
      <c r="EAK48" s="952"/>
      <c r="EAL48" s="952"/>
      <c r="EAM48" s="952"/>
      <c r="EAN48" s="952"/>
      <c r="EAO48" s="952"/>
      <c r="EAP48" s="952"/>
      <c r="EAQ48" s="952"/>
      <c r="EAR48" s="952"/>
      <c r="EAS48" s="952"/>
      <c r="EAT48" s="952"/>
      <c r="EAU48" s="952"/>
      <c r="EAV48" s="952"/>
      <c r="EAW48" s="952"/>
      <c r="EAX48" s="952"/>
      <c r="EAY48" s="952"/>
      <c r="EAZ48" s="952"/>
      <c r="EBA48" s="952"/>
      <c r="EBB48" s="952"/>
      <c r="EBC48" s="952"/>
      <c r="EBD48" s="952"/>
      <c r="EBE48" s="952"/>
      <c r="EBF48" s="952"/>
      <c r="EBG48" s="952"/>
      <c r="EBH48" s="952"/>
      <c r="EBI48" s="952"/>
      <c r="EBJ48" s="952"/>
      <c r="EBK48" s="952"/>
      <c r="EBL48" s="952"/>
      <c r="EBM48" s="952"/>
      <c r="EBN48" s="952"/>
      <c r="EBO48" s="952"/>
      <c r="EBP48" s="952"/>
      <c r="EBQ48" s="952"/>
      <c r="EBR48" s="952"/>
      <c r="EBS48" s="952"/>
      <c r="EBT48" s="952"/>
      <c r="EBU48" s="952"/>
      <c r="EBV48" s="952"/>
      <c r="EBW48" s="952"/>
      <c r="EBX48" s="952"/>
      <c r="EBY48" s="952"/>
      <c r="EBZ48" s="952"/>
      <c r="ECA48" s="952"/>
      <c r="ECB48" s="952"/>
      <c r="ECC48" s="952"/>
      <c r="ECD48" s="952"/>
      <c r="ECE48" s="952"/>
      <c r="ECF48" s="952"/>
      <c r="ECG48" s="952"/>
      <c r="ECH48" s="952"/>
      <c r="ECI48" s="952"/>
      <c r="ECJ48" s="952"/>
      <c r="ECK48" s="952"/>
      <c r="ECL48" s="952"/>
      <c r="ECM48" s="952"/>
      <c r="ECN48" s="952"/>
      <c r="ECO48" s="952"/>
      <c r="ECP48" s="952"/>
      <c r="ECQ48" s="952"/>
      <c r="ECR48" s="952"/>
      <c r="ECS48" s="952"/>
      <c r="ECT48" s="952"/>
      <c r="ECU48" s="952"/>
      <c r="ECV48" s="952"/>
      <c r="ECW48" s="952"/>
      <c r="ECX48" s="952"/>
      <c r="ECY48" s="952"/>
      <c r="ECZ48" s="952"/>
      <c r="EDA48" s="952"/>
      <c r="EDB48" s="952"/>
      <c r="EDC48" s="952"/>
      <c r="EDD48" s="952"/>
      <c r="EDE48" s="952"/>
      <c r="EDF48" s="952"/>
      <c r="EDG48" s="952"/>
      <c r="EDH48" s="952"/>
      <c r="EDI48" s="952"/>
      <c r="EDJ48" s="952"/>
      <c r="EDK48" s="952"/>
      <c r="EDL48" s="952"/>
      <c r="EDM48" s="952"/>
      <c r="EDN48" s="952"/>
      <c r="EDO48" s="952"/>
      <c r="EDP48" s="952"/>
      <c r="EDQ48" s="952"/>
      <c r="EDR48" s="952"/>
      <c r="EDS48" s="952"/>
      <c r="EDT48" s="952"/>
      <c r="EDU48" s="952"/>
      <c r="EDV48" s="952"/>
      <c r="EDW48" s="952"/>
      <c r="EDX48" s="952"/>
      <c r="EDY48" s="952"/>
      <c r="EDZ48" s="952"/>
      <c r="EEA48" s="952"/>
      <c r="EEB48" s="952"/>
      <c r="EEC48" s="952"/>
      <c r="EED48" s="952"/>
      <c r="EEE48" s="952"/>
      <c r="EEF48" s="952"/>
      <c r="EEG48" s="952"/>
      <c r="EEH48" s="952"/>
      <c r="EEI48" s="952"/>
      <c r="EEJ48" s="952"/>
      <c r="EEK48" s="952"/>
      <c r="EEL48" s="952"/>
      <c r="EEM48" s="952"/>
      <c r="EEN48" s="952"/>
      <c r="EEO48" s="952"/>
      <c r="EEP48" s="952"/>
      <c r="EEQ48" s="952"/>
      <c r="EER48" s="952"/>
      <c r="EES48" s="952"/>
      <c r="EET48" s="952"/>
      <c r="EEU48" s="952"/>
      <c r="EEV48" s="952"/>
      <c r="EEW48" s="952"/>
      <c r="EEX48" s="952"/>
      <c r="EEY48" s="952"/>
      <c r="EEZ48" s="952"/>
      <c r="EFA48" s="952"/>
      <c r="EFB48" s="952"/>
      <c r="EFC48" s="952"/>
      <c r="EFD48" s="952"/>
      <c r="EFE48" s="952"/>
      <c r="EFF48" s="952"/>
      <c r="EFG48" s="952"/>
      <c r="EFH48" s="952"/>
      <c r="EFI48" s="952"/>
      <c r="EFJ48" s="952"/>
      <c r="EFK48" s="952"/>
      <c r="EFL48" s="952"/>
      <c r="EFM48" s="952"/>
      <c r="EFN48" s="952"/>
      <c r="EFO48" s="952"/>
      <c r="EFP48" s="952"/>
      <c r="EFQ48" s="952"/>
      <c r="EFR48" s="952"/>
      <c r="EFS48" s="952"/>
      <c r="EFT48" s="952"/>
      <c r="EFU48" s="952"/>
      <c r="EFV48" s="952"/>
      <c r="EFW48" s="952"/>
      <c r="EFX48" s="952"/>
      <c r="EFY48" s="952"/>
      <c r="EFZ48" s="952"/>
      <c r="EGA48" s="952"/>
      <c r="EGB48" s="952"/>
      <c r="EGC48" s="952"/>
      <c r="EGD48" s="952"/>
      <c r="EGE48" s="952"/>
      <c r="EGF48" s="952"/>
      <c r="EGG48" s="952"/>
      <c r="EGH48" s="952"/>
      <c r="EGI48" s="952"/>
      <c r="EGJ48" s="952"/>
      <c r="EGK48" s="952"/>
      <c r="EGL48" s="952"/>
      <c r="EGM48" s="952"/>
      <c r="EGN48" s="952"/>
      <c r="EGO48" s="952"/>
      <c r="EGP48" s="952"/>
      <c r="EGQ48" s="952"/>
      <c r="EGR48" s="952"/>
      <c r="EGS48" s="952"/>
      <c r="EGT48" s="952"/>
      <c r="EGU48" s="952"/>
      <c r="EGV48" s="952"/>
      <c r="EGW48" s="952"/>
      <c r="EGX48" s="952"/>
      <c r="EGY48" s="952"/>
      <c r="EGZ48" s="952"/>
      <c r="EHA48" s="952"/>
      <c r="EHB48" s="952"/>
      <c r="EHC48" s="952"/>
      <c r="EHD48" s="952"/>
      <c r="EHE48" s="952"/>
      <c r="EHF48" s="952"/>
      <c r="EHG48" s="952"/>
      <c r="EHH48" s="952"/>
      <c r="EHI48" s="952"/>
      <c r="EHJ48" s="952"/>
      <c r="EHK48" s="952"/>
      <c r="EHL48" s="952"/>
      <c r="EHM48" s="952"/>
      <c r="EHN48" s="952"/>
      <c r="EHO48" s="952"/>
      <c r="EHP48" s="952"/>
      <c r="EHQ48" s="952"/>
      <c r="EHR48" s="952"/>
      <c r="EHS48" s="952"/>
      <c r="EHT48" s="952"/>
      <c r="EHU48" s="952"/>
      <c r="EHV48" s="952"/>
      <c r="EHW48" s="952"/>
      <c r="EHX48" s="952"/>
      <c r="EHY48" s="952"/>
      <c r="EHZ48" s="952"/>
      <c r="EIA48" s="952"/>
      <c r="EIB48" s="952"/>
      <c r="EIC48" s="952"/>
      <c r="EID48" s="952"/>
      <c r="EIE48" s="952"/>
      <c r="EIF48" s="952"/>
      <c r="EIG48" s="952"/>
      <c r="EIH48" s="952"/>
      <c r="EII48" s="952"/>
      <c r="EIJ48" s="952"/>
      <c r="EIK48" s="952"/>
      <c r="EIL48" s="952"/>
      <c r="EIM48" s="952"/>
      <c r="EIN48" s="952"/>
      <c r="EIO48" s="952"/>
      <c r="EIP48" s="952"/>
      <c r="EIQ48" s="952"/>
      <c r="EIR48" s="952"/>
      <c r="EIS48" s="952"/>
      <c r="EIT48" s="952"/>
      <c r="EIU48" s="952"/>
      <c r="EIV48" s="952"/>
      <c r="EIW48" s="952"/>
      <c r="EIX48" s="952"/>
      <c r="EIY48" s="952"/>
      <c r="EIZ48" s="952"/>
      <c r="EJA48" s="952"/>
      <c r="EJB48" s="952"/>
      <c r="EJC48" s="952"/>
      <c r="EJD48" s="952"/>
      <c r="EJE48" s="952"/>
      <c r="EJF48" s="952"/>
      <c r="EJG48" s="952"/>
      <c r="EJH48" s="952"/>
      <c r="EJI48" s="952"/>
      <c r="EJJ48" s="952"/>
      <c r="EJK48" s="952"/>
      <c r="EJL48" s="952"/>
      <c r="EJM48" s="952"/>
      <c r="EJN48" s="952"/>
      <c r="EJO48" s="952"/>
      <c r="EJP48" s="952"/>
      <c r="EJQ48" s="952"/>
      <c r="EJR48" s="952"/>
      <c r="EJS48" s="952"/>
      <c r="EJT48" s="952"/>
      <c r="EJU48" s="952"/>
      <c r="EJV48" s="952"/>
      <c r="EJW48" s="952"/>
      <c r="EJX48" s="952"/>
      <c r="EJY48" s="952"/>
      <c r="EJZ48" s="952"/>
      <c r="EKA48" s="952"/>
      <c r="EKB48" s="952"/>
      <c r="EKC48" s="952"/>
      <c r="EKD48" s="952"/>
      <c r="EKE48" s="952"/>
      <c r="EKF48" s="952"/>
      <c r="EKG48" s="952"/>
      <c r="EKH48" s="952"/>
      <c r="EKI48" s="952"/>
      <c r="EKJ48" s="952"/>
      <c r="EKK48" s="952"/>
      <c r="EKL48" s="952"/>
      <c r="EKM48" s="952"/>
      <c r="EKN48" s="952"/>
      <c r="EKO48" s="952"/>
      <c r="EKP48" s="952"/>
      <c r="EKQ48" s="952"/>
      <c r="EKR48" s="952"/>
      <c r="EKS48" s="952"/>
      <c r="EKT48" s="952"/>
      <c r="EKU48" s="952"/>
      <c r="EKV48" s="952"/>
      <c r="EKW48" s="952"/>
      <c r="EKX48" s="952"/>
      <c r="EKY48" s="952"/>
      <c r="EKZ48" s="952"/>
      <c r="ELA48" s="952"/>
      <c r="ELB48" s="952"/>
      <c r="ELC48" s="952"/>
      <c r="ELD48" s="952"/>
      <c r="ELE48" s="952"/>
      <c r="ELF48" s="952"/>
      <c r="ELG48" s="952"/>
      <c r="ELH48" s="952"/>
      <c r="ELI48" s="952"/>
      <c r="ELJ48" s="952"/>
      <c r="ELK48" s="952"/>
      <c r="ELL48" s="952"/>
      <c r="ELM48" s="952"/>
      <c r="ELN48" s="952"/>
      <c r="ELO48" s="952"/>
      <c r="ELP48" s="952"/>
      <c r="ELQ48" s="952"/>
      <c r="ELR48" s="952"/>
      <c r="ELS48" s="952"/>
      <c r="ELT48" s="952"/>
      <c r="ELU48" s="952"/>
      <c r="ELV48" s="952"/>
      <c r="ELW48" s="952"/>
      <c r="ELX48" s="952"/>
      <c r="ELY48" s="952"/>
      <c r="ELZ48" s="952"/>
      <c r="EMA48" s="952"/>
      <c r="EMB48" s="952"/>
      <c r="EMC48" s="952"/>
      <c r="EMD48" s="952"/>
      <c r="EME48" s="952"/>
      <c r="EMF48" s="952"/>
      <c r="EMG48" s="952"/>
      <c r="EMH48" s="952"/>
      <c r="EMI48" s="952"/>
      <c r="EMJ48" s="952"/>
      <c r="EMK48" s="952"/>
      <c r="EML48" s="952"/>
      <c r="EMM48" s="952"/>
      <c r="EMN48" s="952"/>
      <c r="EMO48" s="952"/>
      <c r="EMP48" s="952"/>
      <c r="EMQ48" s="952"/>
      <c r="EMR48" s="952"/>
      <c r="EMS48" s="952"/>
      <c r="EMT48" s="952"/>
      <c r="EMU48" s="952"/>
      <c r="EMV48" s="952"/>
      <c r="EMW48" s="952"/>
      <c r="EMX48" s="952"/>
      <c r="EMY48" s="952"/>
      <c r="EMZ48" s="952"/>
      <c r="ENA48" s="952"/>
      <c r="ENB48" s="952"/>
      <c r="ENC48" s="952"/>
      <c r="END48" s="952"/>
      <c r="ENE48" s="952"/>
      <c r="ENF48" s="952"/>
      <c r="ENG48" s="952"/>
      <c r="ENH48" s="952"/>
      <c r="ENI48" s="952"/>
      <c r="ENJ48" s="952"/>
      <c r="ENK48" s="952"/>
      <c r="ENL48" s="952"/>
      <c r="ENM48" s="952"/>
      <c r="ENN48" s="952"/>
      <c r="ENO48" s="952"/>
      <c r="ENP48" s="952"/>
      <c r="ENQ48" s="952"/>
      <c r="ENR48" s="952"/>
      <c r="ENS48" s="952"/>
      <c r="ENT48" s="952"/>
      <c r="ENU48" s="952"/>
      <c r="ENV48" s="952"/>
      <c r="ENW48" s="952"/>
      <c r="ENX48" s="952"/>
      <c r="ENY48" s="952"/>
      <c r="ENZ48" s="952"/>
      <c r="EOA48" s="952"/>
      <c r="EOB48" s="952"/>
      <c r="EOC48" s="952"/>
      <c r="EOD48" s="952"/>
      <c r="EOE48" s="952"/>
      <c r="EOF48" s="952"/>
      <c r="EOG48" s="952"/>
      <c r="EOH48" s="952"/>
      <c r="EOI48" s="952"/>
      <c r="EOJ48" s="952"/>
      <c r="EOK48" s="952"/>
      <c r="EOL48" s="952"/>
      <c r="EOM48" s="952"/>
      <c r="EON48" s="952"/>
      <c r="EOO48" s="952"/>
      <c r="EOP48" s="952"/>
      <c r="EOQ48" s="952"/>
      <c r="EOR48" s="952"/>
      <c r="EOS48" s="952"/>
      <c r="EOT48" s="952"/>
      <c r="EOU48" s="952"/>
      <c r="EOV48" s="952"/>
      <c r="EOW48" s="952"/>
      <c r="EOX48" s="952"/>
      <c r="EOY48" s="952"/>
      <c r="EOZ48" s="952"/>
      <c r="EPA48" s="952"/>
      <c r="EPB48" s="952"/>
      <c r="EPC48" s="952"/>
      <c r="EPD48" s="952"/>
      <c r="EPE48" s="952"/>
      <c r="EPF48" s="952"/>
      <c r="EPG48" s="952"/>
      <c r="EPH48" s="952"/>
      <c r="EPI48" s="952"/>
      <c r="EPJ48" s="952"/>
      <c r="EPK48" s="952"/>
      <c r="EPL48" s="952"/>
      <c r="EPM48" s="952"/>
      <c r="EPN48" s="952"/>
      <c r="EPO48" s="952"/>
      <c r="EPP48" s="952"/>
      <c r="EPQ48" s="952"/>
      <c r="EPR48" s="952"/>
      <c r="EPS48" s="952"/>
      <c r="EPT48" s="952"/>
      <c r="EPU48" s="952"/>
      <c r="EPV48" s="952"/>
      <c r="EPW48" s="952"/>
      <c r="EPX48" s="952"/>
      <c r="EPY48" s="952"/>
      <c r="EPZ48" s="952"/>
      <c r="EQA48" s="952"/>
      <c r="EQB48" s="952"/>
      <c r="EQC48" s="952"/>
      <c r="EQD48" s="952"/>
      <c r="EQE48" s="952"/>
      <c r="EQF48" s="952"/>
      <c r="EQG48" s="952"/>
      <c r="EQH48" s="952"/>
      <c r="EQI48" s="952"/>
      <c r="EQJ48" s="952"/>
      <c r="EQK48" s="952"/>
      <c r="EQL48" s="952"/>
      <c r="EQM48" s="952"/>
      <c r="EQN48" s="952"/>
      <c r="EQO48" s="952"/>
      <c r="EQP48" s="952"/>
      <c r="EQQ48" s="952"/>
      <c r="EQR48" s="952"/>
      <c r="EQS48" s="952"/>
      <c r="EQT48" s="952"/>
      <c r="EQU48" s="952"/>
      <c r="EQV48" s="952"/>
      <c r="EQW48" s="952"/>
      <c r="EQX48" s="952"/>
      <c r="EQY48" s="952"/>
      <c r="EQZ48" s="952"/>
      <c r="ERA48" s="952"/>
      <c r="ERB48" s="952"/>
      <c r="ERC48" s="952"/>
      <c r="ERD48" s="952"/>
      <c r="ERE48" s="952"/>
      <c r="ERF48" s="952"/>
      <c r="ERG48" s="952"/>
      <c r="ERH48" s="952"/>
      <c r="ERI48" s="952"/>
      <c r="ERJ48" s="952"/>
      <c r="ERK48" s="952"/>
      <c r="ERL48" s="952"/>
      <c r="ERM48" s="952"/>
      <c r="ERN48" s="952"/>
      <c r="ERO48" s="952"/>
      <c r="ERP48" s="952"/>
      <c r="ERQ48" s="952"/>
      <c r="ERR48" s="952"/>
      <c r="ERS48" s="952"/>
      <c r="ERT48" s="952"/>
      <c r="ERU48" s="952"/>
      <c r="ERV48" s="952"/>
      <c r="ERW48" s="952"/>
      <c r="ERX48" s="952"/>
      <c r="ERY48" s="952"/>
      <c r="ERZ48" s="952"/>
      <c r="ESA48" s="952"/>
      <c r="ESB48" s="952"/>
      <c r="ESC48" s="952"/>
      <c r="ESD48" s="952"/>
      <c r="ESE48" s="952"/>
      <c r="ESF48" s="952"/>
      <c r="ESG48" s="952"/>
      <c r="ESH48" s="952"/>
      <c r="ESI48" s="952"/>
      <c r="ESJ48" s="952"/>
      <c r="ESK48" s="952"/>
      <c r="ESL48" s="952"/>
      <c r="ESM48" s="952"/>
      <c r="ESN48" s="952"/>
      <c r="ESO48" s="952"/>
      <c r="ESP48" s="952"/>
      <c r="ESQ48" s="952"/>
      <c r="ESR48" s="952"/>
      <c r="ESS48" s="952"/>
      <c r="EST48" s="952"/>
      <c r="ESU48" s="952"/>
      <c r="ESV48" s="952"/>
      <c r="ESW48" s="952"/>
      <c r="ESX48" s="952"/>
      <c r="ESY48" s="952"/>
      <c r="ESZ48" s="952"/>
      <c r="ETA48" s="952"/>
      <c r="ETB48" s="952"/>
      <c r="ETC48" s="952"/>
      <c r="ETD48" s="952"/>
      <c r="ETE48" s="952"/>
      <c r="ETF48" s="952"/>
      <c r="ETG48" s="952"/>
      <c r="ETH48" s="952"/>
      <c r="ETI48" s="952"/>
      <c r="ETJ48" s="952"/>
      <c r="ETK48" s="952"/>
      <c r="ETL48" s="952"/>
      <c r="ETM48" s="952"/>
      <c r="ETN48" s="952"/>
      <c r="ETO48" s="952"/>
      <c r="ETP48" s="952"/>
      <c r="ETQ48" s="952"/>
      <c r="ETR48" s="952"/>
      <c r="ETS48" s="952"/>
      <c r="ETT48" s="952"/>
      <c r="ETU48" s="952"/>
      <c r="ETV48" s="952"/>
      <c r="ETW48" s="952"/>
      <c r="ETX48" s="952"/>
      <c r="ETY48" s="952"/>
      <c r="ETZ48" s="952"/>
      <c r="EUA48" s="952"/>
      <c r="EUB48" s="952"/>
      <c r="EUC48" s="952"/>
      <c r="EUD48" s="952"/>
      <c r="EUE48" s="952"/>
      <c r="EUF48" s="952"/>
      <c r="EUG48" s="952"/>
      <c r="EUH48" s="952"/>
      <c r="EUI48" s="952"/>
      <c r="EUJ48" s="952"/>
      <c r="EUK48" s="952"/>
      <c r="EUL48" s="952"/>
      <c r="EUM48" s="952"/>
      <c r="EUN48" s="952"/>
      <c r="EUO48" s="952"/>
      <c r="EUP48" s="952"/>
      <c r="EUQ48" s="952"/>
      <c r="EUR48" s="952"/>
      <c r="EUS48" s="952"/>
      <c r="EUT48" s="952"/>
      <c r="EUU48" s="952"/>
      <c r="EUV48" s="952"/>
      <c r="EUW48" s="952"/>
      <c r="EUX48" s="952"/>
      <c r="EUY48" s="952"/>
      <c r="EUZ48" s="952"/>
      <c r="EVA48" s="952"/>
      <c r="EVB48" s="952"/>
      <c r="EVC48" s="952"/>
      <c r="EVD48" s="952"/>
      <c r="EVE48" s="952"/>
      <c r="EVF48" s="952"/>
      <c r="EVG48" s="952"/>
      <c r="EVH48" s="952"/>
      <c r="EVI48" s="952"/>
      <c r="EVJ48" s="952"/>
      <c r="EVK48" s="952"/>
      <c r="EVL48" s="952"/>
      <c r="EVM48" s="952"/>
      <c r="EVN48" s="952"/>
      <c r="EVO48" s="952"/>
      <c r="EVP48" s="952"/>
      <c r="EVQ48" s="952"/>
      <c r="EVR48" s="952"/>
      <c r="EVS48" s="952"/>
      <c r="EVT48" s="952"/>
      <c r="EVU48" s="952"/>
      <c r="EVV48" s="952"/>
      <c r="EVW48" s="952"/>
      <c r="EVX48" s="952"/>
      <c r="EVY48" s="952"/>
      <c r="EVZ48" s="952"/>
      <c r="EWA48" s="952"/>
      <c r="EWB48" s="952"/>
      <c r="EWC48" s="952"/>
      <c r="EWD48" s="952"/>
      <c r="EWE48" s="952"/>
      <c r="EWF48" s="952"/>
      <c r="EWG48" s="952"/>
      <c r="EWH48" s="952"/>
      <c r="EWI48" s="952"/>
      <c r="EWJ48" s="952"/>
      <c r="EWK48" s="952"/>
      <c r="EWL48" s="952"/>
      <c r="EWM48" s="952"/>
      <c r="EWN48" s="952"/>
      <c r="EWO48" s="952"/>
      <c r="EWP48" s="952"/>
      <c r="EWQ48" s="952"/>
      <c r="EWR48" s="952"/>
      <c r="EWS48" s="952"/>
      <c r="EWT48" s="952"/>
      <c r="EWU48" s="952"/>
      <c r="EWV48" s="952"/>
      <c r="EWW48" s="952"/>
      <c r="EWX48" s="952"/>
      <c r="EWY48" s="952"/>
      <c r="EWZ48" s="952"/>
      <c r="EXA48" s="952"/>
      <c r="EXB48" s="952"/>
      <c r="EXC48" s="952"/>
      <c r="EXD48" s="952"/>
      <c r="EXE48" s="952"/>
      <c r="EXF48" s="952"/>
      <c r="EXG48" s="952"/>
      <c r="EXH48" s="952"/>
      <c r="EXI48" s="952"/>
      <c r="EXJ48" s="952"/>
      <c r="EXK48" s="952"/>
      <c r="EXL48" s="952"/>
      <c r="EXM48" s="952"/>
      <c r="EXN48" s="952"/>
      <c r="EXO48" s="952"/>
      <c r="EXP48" s="952"/>
      <c r="EXQ48" s="952"/>
      <c r="EXR48" s="952"/>
      <c r="EXS48" s="952"/>
      <c r="EXT48" s="952"/>
      <c r="EXU48" s="952"/>
      <c r="EXV48" s="952"/>
      <c r="EXW48" s="952"/>
      <c r="EXX48" s="952"/>
      <c r="EXY48" s="952"/>
      <c r="EXZ48" s="952"/>
      <c r="EYA48" s="952"/>
      <c r="EYB48" s="952"/>
      <c r="EYC48" s="952"/>
      <c r="EYD48" s="952"/>
      <c r="EYE48" s="952"/>
      <c r="EYF48" s="952"/>
      <c r="EYG48" s="952"/>
      <c r="EYH48" s="952"/>
      <c r="EYI48" s="952"/>
      <c r="EYJ48" s="952"/>
      <c r="EYK48" s="952"/>
      <c r="EYL48" s="952"/>
      <c r="EYM48" s="952"/>
      <c r="EYN48" s="952"/>
      <c r="EYO48" s="952"/>
      <c r="EYP48" s="952"/>
      <c r="EYQ48" s="952"/>
      <c r="EYR48" s="952"/>
      <c r="EYS48" s="952"/>
      <c r="EYT48" s="952"/>
      <c r="EYU48" s="952"/>
      <c r="EYV48" s="952"/>
      <c r="EYW48" s="952"/>
      <c r="EYX48" s="952"/>
      <c r="EYY48" s="952"/>
      <c r="EYZ48" s="952"/>
      <c r="EZA48" s="952"/>
      <c r="EZB48" s="952"/>
      <c r="EZC48" s="952"/>
      <c r="EZD48" s="952"/>
      <c r="EZE48" s="952"/>
      <c r="EZF48" s="952"/>
      <c r="EZG48" s="952"/>
      <c r="EZH48" s="952"/>
      <c r="EZI48" s="952"/>
      <c r="EZJ48" s="952"/>
      <c r="EZK48" s="952"/>
      <c r="EZL48" s="952"/>
      <c r="EZM48" s="952"/>
      <c r="EZN48" s="952"/>
      <c r="EZO48" s="952"/>
      <c r="EZP48" s="952"/>
      <c r="EZQ48" s="952"/>
      <c r="EZR48" s="952"/>
      <c r="EZS48" s="952"/>
      <c r="EZT48" s="952"/>
      <c r="EZU48" s="952"/>
      <c r="EZV48" s="952"/>
      <c r="EZW48" s="952"/>
      <c r="EZX48" s="952"/>
      <c r="EZY48" s="952"/>
      <c r="EZZ48" s="952"/>
      <c r="FAA48" s="952"/>
      <c r="FAB48" s="952"/>
      <c r="FAC48" s="952"/>
      <c r="FAD48" s="952"/>
      <c r="FAE48" s="952"/>
      <c r="FAF48" s="952"/>
      <c r="FAG48" s="952"/>
      <c r="FAH48" s="952"/>
      <c r="FAI48" s="952"/>
      <c r="FAJ48" s="952"/>
      <c r="FAK48" s="952"/>
      <c r="FAL48" s="952"/>
      <c r="FAM48" s="952"/>
      <c r="FAN48" s="952"/>
      <c r="FAO48" s="952"/>
      <c r="FAP48" s="952"/>
      <c r="FAQ48" s="952"/>
      <c r="FAR48" s="952"/>
      <c r="FAS48" s="952"/>
      <c r="FAT48" s="952"/>
      <c r="FAU48" s="952"/>
      <c r="FAV48" s="952"/>
      <c r="FAW48" s="952"/>
      <c r="FAX48" s="952"/>
      <c r="FAY48" s="952"/>
      <c r="FAZ48" s="952"/>
      <c r="FBA48" s="952"/>
      <c r="FBB48" s="952"/>
      <c r="FBC48" s="952"/>
      <c r="FBD48" s="952"/>
      <c r="FBE48" s="952"/>
      <c r="FBF48" s="952"/>
      <c r="FBG48" s="952"/>
      <c r="FBH48" s="952"/>
      <c r="FBI48" s="952"/>
      <c r="FBJ48" s="952"/>
      <c r="FBK48" s="952"/>
      <c r="FBL48" s="952"/>
      <c r="FBM48" s="952"/>
      <c r="FBN48" s="952"/>
      <c r="FBO48" s="952"/>
      <c r="FBP48" s="952"/>
      <c r="FBQ48" s="952"/>
      <c r="FBR48" s="952"/>
      <c r="FBS48" s="952"/>
      <c r="FBT48" s="952"/>
      <c r="FBU48" s="952"/>
      <c r="FBV48" s="952"/>
      <c r="FBW48" s="952"/>
      <c r="FBX48" s="952"/>
      <c r="FBY48" s="952"/>
      <c r="FBZ48" s="952"/>
      <c r="FCA48" s="952"/>
      <c r="FCB48" s="952"/>
      <c r="FCC48" s="952"/>
      <c r="FCD48" s="952"/>
      <c r="FCE48" s="952"/>
      <c r="FCF48" s="952"/>
      <c r="FCG48" s="952"/>
      <c r="FCH48" s="952"/>
      <c r="FCI48" s="952"/>
      <c r="FCJ48" s="952"/>
      <c r="FCK48" s="952"/>
      <c r="FCL48" s="952"/>
      <c r="FCM48" s="952"/>
      <c r="FCN48" s="952"/>
      <c r="FCO48" s="952"/>
      <c r="FCP48" s="952"/>
      <c r="FCQ48" s="952"/>
      <c r="FCR48" s="952"/>
      <c r="FCS48" s="952"/>
      <c r="FCT48" s="952"/>
      <c r="FCU48" s="952"/>
      <c r="FCV48" s="952"/>
      <c r="FCW48" s="952"/>
      <c r="FCX48" s="952"/>
      <c r="FCY48" s="952"/>
      <c r="FCZ48" s="952"/>
      <c r="FDA48" s="952"/>
      <c r="FDB48" s="952"/>
      <c r="FDC48" s="952"/>
      <c r="FDD48" s="952"/>
      <c r="FDE48" s="952"/>
      <c r="FDF48" s="952"/>
      <c r="FDG48" s="952"/>
      <c r="FDH48" s="952"/>
      <c r="FDI48" s="952"/>
      <c r="FDJ48" s="952"/>
      <c r="FDK48" s="952"/>
      <c r="FDL48" s="952"/>
      <c r="FDM48" s="952"/>
      <c r="FDN48" s="952"/>
      <c r="FDO48" s="952"/>
      <c r="FDP48" s="952"/>
      <c r="FDQ48" s="952"/>
      <c r="FDR48" s="952"/>
      <c r="FDS48" s="952"/>
      <c r="FDT48" s="952"/>
      <c r="FDU48" s="952"/>
      <c r="FDV48" s="952"/>
      <c r="FDW48" s="952"/>
      <c r="FDX48" s="952"/>
      <c r="FDY48" s="952"/>
      <c r="FDZ48" s="952"/>
      <c r="FEA48" s="952"/>
      <c r="FEB48" s="952"/>
      <c r="FEC48" s="952"/>
      <c r="FED48" s="952"/>
      <c r="FEE48" s="952"/>
      <c r="FEF48" s="952"/>
      <c r="FEG48" s="952"/>
      <c r="FEH48" s="952"/>
      <c r="FEI48" s="952"/>
      <c r="FEJ48" s="952"/>
      <c r="FEK48" s="952"/>
      <c r="FEL48" s="952"/>
      <c r="FEM48" s="952"/>
      <c r="FEN48" s="952"/>
      <c r="FEO48" s="952"/>
      <c r="FEP48" s="952"/>
      <c r="FEQ48" s="952"/>
      <c r="FER48" s="952"/>
      <c r="FES48" s="952"/>
      <c r="FET48" s="952"/>
      <c r="FEU48" s="952"/>
      <c r="FEV48" s="952"/>
      <c r="FEW48" s="952"/>
      <c r="FEX48" s="952"/>
      <c r="FEY48" s="952"/>
      <c r="FEZ48" s="952"/>
      <c r="FFA48" s="952"/>
      <c r="FFB48" s="952"/>
      <c r="FFC48" s="952"/>
      <c r="FFD48" s="952"/>
      <c r="FFE48" s="952"/>
      <c r="FFF48" s="952"/>
      <c r="FFG48" s="952"/>
      <c r="FFH48" s="952"/>
      <c r="FFI48" s="952"/>
      <c r="FFJ48" s="952"/>
      <c r="FFK48" s="952"/>
      <c r="FFL48" s="952"/>
      <c r="FFM48" s="952"/>
      <c r="FFN48" s="952"/>
      <c r="FFO48" s="952"/>
      <c r="FFP48" s="952"/>
      <c r="FFQ48" s="952"/>
      <c r="FFR48" s="952"/>
      <c r="FFS48" s="952"/>
      <c r="FFT48" s="952"/>
      <c r="FFU48" s="952"/>
      <c r="FFV48" s="952"/>
      <c r="FFW48" s="952"/>
      <c r="FFX48" s="952"/>
      <c r="FFY48" s="952"/>
      <c r="FFZ48" s="952"/>
      <c r="FGA48" s="952"/>
      <c r="FGB48" s="952"/>
      <c r="FGC48" s="952"/>
      <c r="FGD48" s="952"/>
      <c r="FGE48" s="952"/>
      <c r="FGF48" s="952"/>
      <c r="FGG48" s="952"/>
      <c r="FGH48" s="952"/>
      <c r="FGI48" s="952"/>
      <c r="FGJ48" s="952"/>
      <c r="FGK48" s="952"/>
      <c r="FGL48" s="952"/>
      <c r="FGM48" s="952"/>
      <c r="FGN48" s="952"/>
      <c r="FGO48" s="952"/>
      <c r="FGP48" s="952"/>
      <c r="FGQ48" s="952"/>
      <c r="FGR48" s="952"/>
      <c r="FGS48" s="952"/>
      <c r="FGT48" s="952"/>
      <c r="FGU48" s="952"/>
      <c r="FGV48" s="952"/>
      <c r="FGW48" s="952"/>
      <c r="FGX48" s="952"/>
      <c r="FGY48" s="952"/>
      <c r="FGZ48" s="952"/>
      <c r="FHA48" s="952"/>
      <c r="FHB48" s="952"/>
      <c r="FHC48" s="952"/>
      <c r="FHD48" s="952"/>
      <c r="FHE48" s="952"/>
      <c r="FHF48" s="952"/>
      <c r="FHG48" s="952"/>
      <c r="FHH48" s="952"/>
      <c r="FHI48" s="952"/>
      <c r="FHJ48" s="952"/>
      <c r="FHK48" s="952"/>
      <c r="FHL48" s="952"/>
      <c r="FHM48" s="952"/>
      <c r="FHN48" s="952"/>
      <c r="FHO48" s="952"/>
      <c r="FHP48" s="952"/>
      <c r="FHQ48" s="952"/>
      <c r="FHR48" s="952"/>
      <c r="FHS48" s="952"/>
      <c r="FHT48" s="952"/>
      <c r="FHU48" s="952"/>
      <c r="FHV48" s="952"/>
      <c r="FHW48" s="952"/>
      <c r="FHX48" s="952"/>
      <c r="FHY48" s="952"/>
      <c r="FHZ48" s="952"/>
      <c r="FIA48" s="952"/>
      <c r="FIB48" s="952"/>
      <c r="FIC48" s="952"/>
      <c r="FID48" s="952"/>
      <c r="FIE48" s="952"/>
      <c r="FIF48" s="952"/>
      <c r="FIG48" s="952"/>
      <c r="FIH48" s="952"/>
      <c r="FII48" s="952"/>
      <c r="FIJ48" s="952"/>
      <c r="FIK48" s="952"/>
      <c r="FIL48" s="952"/>
      <c r="FIM48" s="952"/>
      <c r="FIN48" s="952"/>
      <c r="FIO48" s="952"/>
      <c r="FIP48" s="952"/>
      <c r="FIQ48" s="952"/>
      <c r="FIR48" s="952"/>
      <c r="FIS48" s="952"/>
      <c r="FIT48" s="952"/>
      <c r="FIU48" s="952"/>
      <c r="FIV48" s="952"/>
      <c r="FIW48" s="952"/>
      <c r="FIX48" s="952"/>
      <c r="FIY48" s="952"/>
      <c r="FIZ48" s="952"/>
      <c r="FJA48" s="952"/>
      <c r="FJB48" s="952"/>
      <c r="FJC48" s="952"/>
      <c r="FJD48" s="952"/>
      <c r="FJE48" s="952"/>
      <c r="FJF48" s="952"/>
      <c r="FJG48" s="952"/>
      <c r="FJH48" s="952"/>
      <c r="FJI48" s="952"/>
      <c r="FJJ48" s="952"/>
      <c r="FJK48" s="952"/>
      <c r="FJL48" s="952"/>
      <c r="FJM48" s="952"/>
      <c r="FJN48" s="952"/>
      <c r="FJO48" s="952"/>
      <c r="FJP48" s="952"/>
      <c r="FJQ48" s="952"/>
      <c r="FJR48" s="952"/>
      <c r="FJS48" s="952"/>
      <c r="FJT48" s="952"/>
      <c r="FJU48" s="952"/>
      <c r="FJV48" s="952"/>
      <c r="FJW48" s="952"/>
      <c r="FJX48" s="952"/>
      <c r="FJY48" s="952"/>
      <c r="FJZ48" s="952"/>
      <c r="FKA48" s="952"/>
      <c r="FKB48" s="952"/>
      <c r="FKC48" s="952"/>
      <c r="FKD48" s="952"/>
      <c r="FKE48" s="952"/>
      <c r="FKF48" s="952"/>
      <c r="FKG48" s="952"/>
      <c r="FKH48" s="952"/>
      <c r="FKI48" s="952"/>
      <c r="FKJ48" s="952"/>
      <c r="FKK48" s="952"/>
      <c r="FKL48" s="952"/>
      <c r="FKM48" s="952"/>
      <c r="FKN48" s="952"/>
      <c r="FKO48" s="952"/>
      <c r="FKP48" s="952"/>
      <c r="FKQ48" s="952"/>
      <c r="FKR48" s="952"/>
      <c r="FKS48" s="952"/>
      <c r="FKT48" s="952"/>
      <c r="FKU48" s="952"/>
      <c r="FKV48" s="952"/>
      <c r="FKW48" s="952"/>
      <c r="FKX48" s="952"/>
      <c r="FKY48" s="952"/>
      <c r="FKZ48" s="952"/>
      <c r="FLA48" s="952"/>
      <c r="FLB48" s="952"/>
      <c r="FLC48" s="952"/>
      <c r="FLD48" s="952"/>
      <c r="FLE48" s="952"/>
      <c r="FLF48" s="952"/>
      <c r="FLG48" s="952"/>
      <c r="FLH48" s="952"/>
      <c r="FLI48" s="952"/>
      <c r="FLJ48" s="952"/>
      <c r="FLK48" s="952"/>
      <c r="FLL48" s="952"/>
      <c r="FLM48" s="952"/>
      <c r="FLN48" s="952"/>
      <c r="FLO48" s="952"/>
      <c r="FLP48" s="952"/>
      <c r="FLQ48" s="952"/>
      <c r="FLR48" s="952"/>
      <c r="FLS48" s="952"/>
      <c r="FLT48" s="952"/>
      <c r="FLU48" s="952"/>
      <c r="FLV48" s="952"/>
      <c r="FLW48" s="952"/>
      <c r="FLX48" s="952"/>
      <c r="FLY48" s="952"/>
      <c r="FLZ48" s="952"/>
      <c r="FMA48" s="952"/>
      <c r="FMB48" s="952"/>
      <c r="FMC48" s="952"/>
      <c r="FMD48" s="952"/>
      <c r="FME48" s="952"/>
      <c r="FMF48" s="952"/>
      <c r="FMG48" s="952"/>
      <c r="FMH48" s="952"/>
      <c r="FMI48" s="952"/>
      <c r="FMJ48" s="952"/>
      <c r="FMK48" s="952"/>
      <c r="FML48" s="952"/>
      <c r="FMM48" s="952"/>
      <c r="FMN48" s="952"/>
      <c r="FMO48" s="952"/>
      <c r="FMP48" s="952"/>
      <c r="FMQ48" s="952"/>
      <c r="FMR48" s="952"/>
      <c r="FMS48" s="952"/>
      <c r="FMT48" s="952"/>
      <c r="FMU48" s="952"/>
      <c r="FMV48" s="952"/>
      <c r="FMW48" s="952"/>
      <c r="FMX48" s="952"/>
      <c r="FMY48" s="952"/>
      <c r="FMZ48" s="952"/>
      <c r="FNA48" s="952"/>
      <c r="FNB48" s="952"/>
      <c r="FNC48" s="952"/>
      <c r="FND48" s="952"/>
      <c r="FNE48" s="952"/>
      <c r="FNF48" s="952"/>
      <c r="FNG48" s="952"/>
      <c r="FNH48" s="952"/>
      <c r="FNI48" s="952"/>
      <c r="FNJ48" s="952"/>
      <c r="FNK48" s="952"/>
      <c r="FNL48" s="952"/>
      <c r="FNM48" s="952"/>
      <c r="FNN48" s="952"/>
      <c r="FNO48" s="952"/>
      <c r="FNP48" s="952"/>
      <c r="FNQ48" s="952"/>
      <c r="FNR48" s="952"/>
      <c r="FNS48" s="952"/>
      <c r="FNT48" s="952"/>
      <c r="FNU48" s="952"/>
      <c r="FNV48" s="952"/>
      <c r="FNW48" s="952"/>
      <c r="FNX48" s="952"/>
      <c r="FNY48" s="952"/>
      <c r="FNZ48" s="952"/>
      <c r="FOA48" s="952"/>
      <c r="FOB48" s="952"/>
      <c r="FOC48" s="952"/>
      <c r="FOD48" s="952"/>
      <c r="FOE48" s="952"/>
      <c r="FOF48" s="952"/>
      <c r="FOG48" s="952"/>
      <c r="FOH48" s="952"/>
      <c r="FOI48" s="952"/>
      <c r="FOJ48" s="952"/>
      <c r="FOK48" s="952"/>
      <c r="FOL48" s="952"/>
      <c r="FOM48" s="952"/>
      <c r="FON48" s="952"/>
      <c r="FOO48" s="952"/>
      <c r="FOP48" s="952"/>
      <c r="FOQ48" s="952"/>
      <c r="FOR48" s="952"/>
      <c r="FOS48" s="952"/>
      <c r="FOT48" s="952"/>
      <c r="FOU48" s="952"/>
      <c r="FOV48" s="952"/>
      <c r="FOW48" s="952"/>
      <c r="FOX48" s="952"/>
      <c r="FOY48" s="952"/>
      <c r="FOZ48" s="952"/>
      <c r="FPA48" s="952"/>
      <c r="FPB48" s="952"/>
      <c r="FPC48" s="952"/>
      <c r="FPD48" s="952"/>
      <c r="FPE48" s="952"/>
      <c r="FPF48" s="952"/>
      <c r="FPG48" s="952"/>
      <c r="FPH48" s="952"/>
      <c r="FPI48" s="952"/>
      <c r="FPJ48" s="952"/>
      <c r="FPK48" s="952"/>
      <c r="FPL48" s="952"/>
      <c r="FPM48" s="952"/>
      <c r="FPN48" s="952"/>
      <c r="FPO48" s="952"/>
      <c r="FPP48" s="952"/>
      <c r="FPQ48" s="952"/>
      <c r="FPR48" s="952"/>
      <c r="FPS48" s="952"/>
      <c r="FPT48" s="952"/>
      <c r="FPU48" s="952"/>
      <c r="FPV48" s="952"/>
      <c r="FPW48" s="952"/>
      <c r="FPX48" s="952"/>
      <c r="FPY48" s="952"/>
      <c r="FPZ48" s="952"/>
      <c r="FQA48" s="952"/>
      <c r="FQB48" s="952"/>
      <c r="FQC48" s="952"/>
      <c r="FQD48" s="952"/>
      <c r="FQE48" s="952"/>
      <c r="FQF48" s="952"/>
      <c r="FQG48" s="952"/>
      <c r="FQH48" s="952"/>
      <c r="FQI48" s="952"/>
      <c r="FQJ48" s="952"/>
      <c r="FQK48" s="952"/>
      <c r="FQL48" s="952"/>
      <c r="FQM48" s="952"/>
      <c r="FQN48" s="952"/>
      <c r="FQO48" s="952"/>
      <c r="FQP48" s="952"/>
      <c r="FQQ48" s="952"/>
      <c r="FQR48" s="952"/>
      <c r="FQS48" s="952"/>
      <c r="FQT48" s="952"/>
      <c r="FQU48" s="952"/>
      <c r="FQV48" s="952"/>
      <c r="FQW48" s="952"/>
      <c r="FQX48" s="952"/>
      <c r="FQY48" s="952"/>
      <c r="FQZ48" s="952"/>
      <c r="FRA48" s="952"/>
      <c r="FRB48" s="952"/>
      <c r="FRC48" s="952"/>
      <c r="FRD48" s="952"/>
      <c r="FRE48" s="952"/>
      <c r="FRF48" s="952"/>
      <c r="FRG48" s="952"/>
      <c r="FRH48" s="952"/>
      <c r="FRI48" s="952"/>
      <c r="FRJ48" s="952"/>
      <c r="FRK48" s="952"/>
      <c r="FRL48" s="952"/>
      <c r="FRM48" s="952"/>
      <c r="FRN48" s="952"/>
      <c r="FRO48" s="952"/>
      <c r="FRP48" s="952"/>
      <c r="FRQ48" s="952"/>
      <c r="FRR48" s="952"/>
      <c r="FRS48" s="952"/>
      <c r="FRT48" s="952"/>
      <c r="FRU48" s="952"/>
      <c r="FRV48" s="952"/>
      <c r="FRW48" s="952"/>
      <c r="FRX48" s="952"/>
      <c r="FRY48" s="952"/>
      <c r="FRZ48" s="952"/>
      <c r="FSA48" s="952"/>
      <c r="FSB48" s="952"/>
      <c r="FSC48" s="952"/>
      <c r="FSD48" s="952"/>
      <c r="FSE48" s="952"/>
      <c r="FSF48" s="952"/>
      <c r="FSG48" s="952"/>
      <c r="FSH48" s="952"/>
      <c r="FSI48" s="952"/>
      <c r="FSJ48" s="952"/>
      <c r="FSK48" s="952"/>
      <c r="FSL48" s="952"/>
      <c r="FSM48" s="952"/>
      <c r="FSN48" s="952"/>
      <c r="FSO48" s="952"/>
      <c r="FSP48" s="952"/>
      <c r="FSQ48" s="952"/>
      <c r="FSR48" s="952"/>
      <c r="FSS48" s="952"/>
      <c r="FST48" s="952"/>
      <c r="FSU48" s="952"/>
      <c r="FSV48" s="952"/>
      <c r="FSW48" s="952"/>
      <c r="FSX48" s="952"/>
      <c r="FSY48" s="952"/>
      <c r="FSZ48" s="952"/>
      <c r="FTA48" s="952"/>
      <c r="FTB48" s="952"/>
      <c r="FTC48" s="952"/>
      <c r="FTD48" s="952"/>
      <c r="FTE48" s="952"/>
      <c r="FTF48" s="952"/>
      <c r="FTG48" s="952"/>
      <c r="FTH48" s="952"/>
      <c r="FTI48" s="952"/>
      <c r="FTJ48" s="952"/>
      <c r="FTK48" s="952"/>
      <c r="FTL48" s="952"/>
      <c r="FTM48" s="952"/>
      <c r="FTN48" s="952"/>
      <c r="FTO48" s="952"/>
      <c r="FTP48" s="952"/>
      <c r="FTQ48" s="952"/>
      <c r="FTR48" s="952"/>
      <c r="FTS48" s="952"/>
      <c r="FTT48" s="952"/>
      <c r="FTU48" s="952"/>
      <c r="FTV48" s="952"/>
      <c r="FTW48" s="952"/>
      <c r="FTX48" s="952"/>
      <c r="FTY48" s="952"/>
      <c r="FTZ48" s="952"/>
      <c r="FUA48" s="952"/>
      <c r="FUB48" s="952"/>
      <c r="FUC48" s="952"/>
      <c r="FUD48" s="952"/>
      <c r="FUE48" s="952"/>
      <c r="FUF48" s="952"/>
      <c r="FUG48" s="952"/>
      <c r="FUH48" s="952"/>
      <c r="FUI48" s="952"/>
      <c r="FUJ48" s="952"/>
      <c r="FUK48" s="952"/>
      <c r="FUL48" s="952"/>
      <c r="FUM48" s="952"/>
      <c r="FUN48" s="952"/>
      <c r="FUO48" s="952"/>
      <c r="FUP48" s="952"/>
      <c r="FUQ48" s="952"/>
      <c r="FUR48" s="952"/>
      <c r="FUS48" s="952"/>
      <c r="FUT48" s="952"/>
      <c r="FUU48" s="952"/>
      <c r="FUV48" s="952"/>
      <c r="FUW48" s="952"/>
      <c r="FUX48" s="952"/>
      <c r="FUY48" s="952"/>
      <c r="FUZ48" s="952"/>
      <c r="FVA48" s="952"/>
      <c r="FVB48" s="952"/>
      <c r="FVC48" s="952"/>
      <c r="FVD48" s="952"/>
      <c r="FVE48" s="952"/>
      <c r="FVF48" s="952"/>
      <c r="FVG48" s="952"/>
      <c r="FVH48" s="952"/>
      <c r="FVI48" s="952"/>
      <c r="FVJ48" s="952"/>
      <c r="FVK48" s="952"/>
      <c r="FVL48" s="952"/>
      <c r="FVM48" s="952"/>
      <c r="FVN48" s="952"/>
      <c r="FVO48" s="952"/>
      <c r="FVP48" s="952"/>
      <c r="FVQ48" s="952"/>
      <c r="FVR48" s="952"/>
      <c r="FVS48" s="952"/>
      <c r="FVT48" s="952"/>
      <c r="FVU48" s="952"/>
      <c r="FVV48" s="952"/>
      <c r="FVW48" s="952"/>
      <c r="FVX48" s="952"/>
      <c r="FVY48" s="952"/>
      <c r="FVZ48" s="952"/>
      <c r="FWA48" s="952"/>
      <c r="FWB48" s="952"/>
      <c r="FWC48" s="952"/>
      <c r="FWD48" s="952"/>
      <c r="FWE48" s="952"/>
      <c r="FWF48" s="952"/>
      <c r="FWG48" s="952"/>
      <c r="FWH48" s="952"/>
      <c r="FWI48" s="952"/>
      <c r="FWJ48" s="952"/>
      <c r="FWK48" s="952"/>
      <c r="FWL48" s="952"/>
      <c r="FWM48" s="952"/>
      <c r="FWN48" s="952"/>
      <c r="FWO48" s="952"/>
      <c r="FWP48" s="952"/>
      <c r="FWQ48" s="952"/>
      <c r="FWR48" s="952"/>
      <c r="FWS48" s="952"/>
      <c r="FWT48" s="952"/>
      <c r="FWU48" s="952"/>
      <c r="FWV48" s="952"/>
      <c r="FWW48" s="952"/>
      <c r="FWX48" s="952"/>
      <c r="FWY48" s="952"/>
      <c r="FWZ48" s="952"/>
      <c r="FXA48" s="952"/>
      <c r="FXB48" s="952"/>
      <c r="FXC48" s="952"/>
      <c r="FXD48" s="952"/>
      <c r="FXE48" s="952"/>
      <c r="FXF48" s="952"/>
      <c r="FXG48" s="952"/>
      <c r="FXH48" s="952"/>
      <c r="FXI48" s="952"/>
      <c r="FXJ48" s="952"/>
      <c r="FXK48" s="952"/>
      <c r="FXL48" s="952"/>
      <c r="FXM48" s="952"/>
      <c r="FXN48" s="952"/>
      <c r="FXO48" s="952"/>
      <c r="FXP48" s="952"/>
      <c r="FXQ48" s="952"/>
      <c r="FXR48" s="952"/>
      <c r="FXS48" s="952"/>
      <c r="FXT48" s="952"/>
      <c r="FXU48" s="952"/>
      <c r="FXV48" s="952"/>
      <c r="FXW48" s="952"/>
      <c r="FXX48" s="952"/>
      <c r="FXY48" s="952"/>
      <c r="FXZ48" s="952"/>
      <c r="FYA48" s="952"/>
      <c r="FYB48" s="952"/>
      <c r="FYC48" s="952"/>
      <c r="FYD48" s="952"/>
      <c r="FYE48" s="952"/>
      <c r="FYF48" s="952"/>
      <c r="FYG48" s="952"/>
      <c r="FYH48" s="952"/>
      <c r="FYI48" s="952"/>
      <c r="FYJ48" s="952"/>
      <c r="FYK48" s="952"/>
      <c r="FYL48" s="952"/>
      <c r="FYM48" s="952"/>
      <c r="FYN48" s="952"/>
      <c r="FYO48" s="952"/>
      <c r="FYP48" s="952"/>
      <c r="FYQ48" s="952"/>
      <c r="FYR48" s="952"/>
      <c r="FYS48" s="952"/>
      <c r="FYT48" s="952"/>
      <c r="FYU48" s="952"/>
      <c r="FYV48" s="952"/>
      <c r="FYW48" s="952"/>
      <c r="FYX48" s="952"/>
      <c r="FYY48" s="952"/>
      <c r="FYZ48" s="952"/>
      <c r="FZA48" s="952"/>
      <c r="FZB48" s="952"/>
      <c r="FZC48" s="952"/>
      <c r="FZD48" s="952"/>
      <c r="FZE48" s="952"/>
      <c r="FZF48" s="952"/>
      <c r="FZG48" s="952"/>
      <c r="FZH48" s="952"/>
      <c r="FZI48" s="952"/>
      <c r="FZJ48" s="952"/>
      <c r="FZK48" s="952"/>
      <c r="FZL48" s="952"/>
      <c r="FZM48" s="952"/>
      <c r="FZN48" s="952"/>
      <c r="FZO48" s="952"/>
      <c r="FZP48" s="952"/>
      <c r="FZQ48" s="952"/>
      <c r="FZR48" s="952"/>
      <c r="FZS48" s="952"/>
      <c r="FZT48" s="952"/>
      <c r="FZU48" s="952"/>
      <c r="FZV48" s="952"/>
      <c r="FZW48" s="952"/>
      <c r="FZX48" s="952"/>
      <c r="FZY48" s="952"/>
      <c r="FZZ48" s="952"/>
      <c r="GAA48" s="952"/>
      <c r="GAB48" s="952"/>
      <c r="GAC48" s="952"/>
      <c r="GAD48" s="952"/>
      <c r="GAE48" s="952"/>
      <c r="GAF48" s="952"/>
      <c r="GAG48" s="952"/>
      <c r="GAH48" s="952"/>
      <c r="GAI48" s="952"/>
      <c r="GAJ48" s="952"/>
      <c r="GAK48" s="952"/>
      <c r="GAL48" s="952"/>
      <c r="GAM48" s="952"/>
      <c r="GAN48" s="952"/>
      <c r="GAO48" s="952"/>
      <c r="GAP48" s="952"/>
      <c r="GAQ48" s="952"/>
      <c r="GAR48" s="952"/>
      <c r="GAS48" s="952"/>
      <c r="GAT48" s="952"/>
      <c r="GAU48" s="952"/>
      <c r="GAV48" s="952"/>
      <c r="GAW48" s="952"/>
      <c r="GAX48" s="952"/>
      <c r="GAY48" s="952"/>
      <c r="GAZ48" s="952"/>
      <c r="GBA48" s="952"/>
      <c r="GBB48" s="952"/>
      <c r="GBC48" s="952"/>
      <c r="GBD48" s="952"/>
      <c r="GBE48" s="952"/>
      <c r="GBF48" s="952"/>
      <c r="GBG48" s="952"/>
      <c r="GBH48" s="952"/>
      <c r="GBI48" s="952"/>
      <c r="GBJ48" s="952"/>
      <c r="GBK48" s="952"/>
      <c r="GBL48" s="952"/>
      <c r="GBM48" s="952"/>
      <c r="GBN48" s="952"/>
      <c r="GBO48" s="952"/>
      <c r="GBP48" s="952"/>
      <c r="GBQ48" s="952"/>
      <c r="GBR48" s="952"/>
      <c r="GBS48" s="952"/>
      <c r="GBT48" s="952"/>
      <c r="GBU48" s="952"/>
      <c r="GBV48" s="952"/>
      <c r="GBW48" s="952"/>
      <c r="GBX48" s="952"/>
      <c r="GBY48" s="952"/>
      <c r="GBZ48" s="952"/>
      <c r="GCA48" s="952"/>
      <c r="GCB48" s="952"/>
      <c r="GCC48" s="952"/>
      <c r="GCD48" s="952"/>
      <c r="GCE48" s="952"/>
      <c r="GCF48" s="952"/>
      <c r="GCG48" s="952"/>
      <c r="GCH48" s="952"/>
      <c r="GCI48" s="952"/>
      <c r="GCJ48" s="952"/>
      <c r="GCK48" s="952"/>
      <c r="GCL48" s="952"/>
      <c r="GCM48" s="952"/>
      <c r="GCN48" s="952"/>
      <c r="GCO48" s="952"/>
      <c r="GCP48" s="952"/>
      <c r="GCQ48" s="952"/>
      <c r="GCR48" s="952"/>
      <c r="GCS48" s="952"/>
      <c r="GCT48" s="952"/>
      <c r="GCU48" s="952"/>
      <c r="GCV48" s="952"/>
      <c r="GCW48" s="952"/>
      <c r="GCX48" s="952"/>
      <c r="GCY48" s="952"/>
      <c r="GCZ48" s="952"/>
      <c r="GDA48" s="952"/>
      <c r="GDB48" s="952"/>
      <c r="GDC48" s="952"/>
      <c r="GDD48" s="952"/>
      <c r="GDE48" s="952"/>
      <c r="GDF48" s="952"/>
      <c r="GDG48" s="952"/>
      <c r="GDH48" s="952"/>
      <c r="GDI48" s="952"/>
      <c r="GDJ48" s="952"/>
      <c r="GDK48" s="952"/>
      <c r="GDL48" s="952"/>
      <c r="GDM48" s="952"/>
      <c r="GDN48" s="952"/>
      <c r="GDO48" s="952"/>
      <c r="GDP48" s="952"/>
      <c r="GDQ48" s="952"/>
      <c r="GDR48" s="952"/>
      <c r="GDS48" s="952"/>
      <c r="GDT48" s="952"/>
      <c r="GDU48" s="952"/>
      <c r="GDV48" s="952"/>
      <c r="GDW48" s="952"/>
      <c r="GDX48" s="952"/>
      <c r="GDY48" s="952"/>
      <c r="GDZ48" s="952"/>
      <c r="GEA48" s="952"/>
      <c r="GEB48" s="952"/>
      <c r="GEC48" s="952"/>
      <c r="GED48" s="952"/>
      <c r="GEE48" s="952"/>
      <c r="GEF48" s="952"/>
      <c r="GEG48" s="952"/>
      <c r="GEH48" s="952"/>
      <c r="GEI48" s="952"/>
      <c r="GEJ48" s="952"/>
      <c r="GEK48" s="952"/>
      <c r="GEL48" s="952"/>
      <c r="GEM48" s="952"/>
      <c r="GEN48" s="952"/>
      <c r="GEO48" s="952"/>
      <c r="GEP48" s="952"/>
      <c r="GEQ48" s="952"/>
      <c r="GER48" s="952"/>
      <c r="GES48" s="952"/>
      <c r="GET48" s="952"/>
      <c r="GEU48" s="952"/>
      <c r="GEV48" s="952"/>
      <c r="GEW48" s="952"/>
      <c r="GEX48" s="952"/>
      <c r="GEY48" s="952"/>
      <c r="GEZ48" s="952"/>
      <c r="GFA48" s="952"/>
      <c r="GFB48" s="952"/>
      <c r="GFC48" s="952"/>
      <c r="GFD48" s="952"/>
      <c r="GFE48" s="952"/>
      <c r="GFF48" s="952"/>
      <c r="GFG48" s="952"/>
      <c r="GFH48" s="952"/>
      <c r="GFI48" s="952"/>
      <c r="GFJ48" s="952"/>
      <c r="GFK48" s="952"/>
      <c r="GFL48" s="952"/>
      <c r="GFM48" s="952"/>
      <c r="GFN48" s="952"/>
      <c r="GFO48" s="952"/>
      <c r="GFP48" s="952"/>
      <c r="GFQ48" s="952"/>
      <c r="GFR48" s="952"/>
      <c r="GFS48" s="952"/>
      <c r="GFT48" s="952"/>
      <c r="GFU48" s="952"/>
      <c r="GFV48" s="952"/>
      <c r="GFW48" s="952"/>
      <c r="GFX48" s="952"/>
      <c r="GFY48" s="952"/>
      <c r="GFZ48" s="952"/>
      <c r="GGA48" s="952"/>
      <c r="GGB48" s="952"/>
      <c r="GGC48" s="952"/>
      <c r="GGD48" s="952"/>
      <c r="GGE48" s="952"/>
      <c r="GGF48" s="952"/>
      <c r="GGG48" s="952"/>
      <c r="GGH48" s="952"/>
      <c r="GGI48" s="952"/>
      <c r="GGJ48" s="952"/>
      <c r="GGK48" s="952"/>
      <c r="GGL48" s="952"/>
      <c r="GGM48" s="952"/>
      <c r="GGN48" s="952"/>
      <c r="GGO48" s="952"/>
      <c r="GGP48" s="952"/>
      <c r="GGQ48" s="952"/>
      <c r="GGR48" s="952"/>
      <c r="GGS48" s="952"/>
      <c r="GGT48" s="952"/>
      <c r="GGU48" s="952"/>
      <c r="GGV48" s="952"/>
      <c r="GGW48" s="952"/>
      <c r="GGX48" s="952"/>
      <c r="GGY48" s="952"/>
      <c r="GGZ48" s="952"/>
      <c r="GHA48" s="952"/>
      <c r="GHB48" s="952"/>
      <c r="GHC48" s="952"/>
      <c r="GHD48" s="952"/>
      <c r="GHE48" s="952"/>
      <c r="GHF48" s="952"/>
      <c r="GHG48" s="952"/>
      <c r="GHH48" s="952"/>
      <c r="GHI48" s="952"/>
      <c r="GHJ48" s="952"/>
      <c r="GHK48" s="952"/>
      <c r="GHL48" s="952"/>
      <c r="GHM48" s="952"/>
      <c r="GHN48" s="952"/>
      <c r="GHO48" s="952"/>
      <c r="GHP48" s="952"/>
      <c r="GHQ48" s="952"/>
      <c r="GHR48" s="952"/>
      <c r="GHS48" s="952"/>
      <c r="GHT48" s="952"/>
      <c r="GHU48" s="952"/>
      <c r="GHV48" s="952"/>
      <c r="GHW48" s="952"/>
      <c r="GHX48" s="952"/>
      <c r="GHY48" s="952"/>
      <c r="GHZ48" s="952"/>
      <c r="GIA48" s="952"/>
      <c r="GIB48" s="952"/>
      <c r="GIC48" s="952"/>
      <c r="GID48" s="952"/>
      <c r="GIE48" s="952"/>
      <c r="GIF48" s="952"/>
      <c r="GIG48" s="952"/>
      <c r="GIH48" s="952"/>
      <c r="GII48" s="952"/>
      <c r="GIJ48" s="952"/>
      <c r="GIK48" s="952"/>
      <c r="GIL48" s="952"/>
      <c r="GIM48" s="952"/>
      <c r="GIN48" s="952"/>
      <c r="GIO48" s="952"/>
      <c r="GIP48" s="952"/>
      <c r="GIQ48" s="952"/>
      <c r="GIR48" s="952"/>
      <c r="GIS48" s="952"/>
      <c r="GIT48" s="952"/>
      <c r="GIU48" s="952"/>
      <c r="GIV48" s="952"/>
      <c r="GIW48" s="952"/>
      <c r="GIX48" s="952"/>
      <c r="GIY48" s="952"/>
      <c r="GIZ48" s="952"/>
      <c r="GJA48" s="952"/>
      <c r="GJB48" s="952"/>
      <c r="GJC48" s="952"/>
      <c r="GJD48" s="952"/>
      <c r="GJE48" s="952"/>
      <c r="GJF48" s="952"/>
      <c r="GJG48" s="952"/>
      <c r="GJH48" s="952"/>
      <c r="GJI48" s="952"/>
      <c r="GJJ48" s="952"/>
      <c r="GJK48" s="952"/>
      <c r="GJL48" s="952"/>
      <c r="GJM48" s="952"/>
      <c r="GJN48" s="952"/>
      <c r="GJO48" s="952"/>
      <c r="GJP48" s="952"/>
      <c r="GJQ48" s="952"/>
      <c r="GJR48" s="952"/>
      <c r="GJS48" s="952"/>
      <c r="GJT48" s="952"/>
      <c r="GJU48" s="952"/>
      <c r="GJV48" s="952"/>
      <c r="GJW48" s="952"/>
      <c r="GJX48" s="952"/>
      <c r="GJY48" s="952"/>
      <c r="GJZ48" s="952"/>
      <c r="GKA48" s="952"/>
      <c r="GKB48" s="952"/>
      <c r="GKC48" s="952"/>
      <c r="GKD48" s="952"/>
      <c r="GKE48" s="952"/>
      <c r="GKF48" s="952"/>
      <c r="GKG48" s="952"/>
      <c r="GKH48" s="952"/>
      <c r="GKI48" s="952"/>
      <c r="GKJ48" s="952"/>
      <c r="GKK48" s="952"/>
      <c r="GKL48" s="952"/>
      <c r="GKM48" s="952"/>
      <c r="GKN48" s="952"/>
      <c r="GKO48" s="952"/>
      <c r="GKP48" s="952"/>
      <c r="GKQ48" s="952"/>
      <c r="GKR48" s="952"/>
      <c r="GKS48" s="952"/>
      <c r="GKT48" s="952"/>
      <c r="GKU48" s="952"/>
      <c r="GKV48" s="952"/>
      <c r="GKW48" s="952"/>
      <c r="GKX48" s="952"/>
      <c r="GKY48" s="952"/>
      <c r="GKZ48" s="952"/>
      <c r="GLA48" s="952"/>
      <c r="GLB48" s="952"/>
      <c r="GLC48" s="952"/>
      <c r="GLD48" s="952"/>
      <c r="GLE48" s="952"/>
      <c r="GLF48" s="952"/>
      <c r="GLG48" s="952"/>
      <c r="GLH48" s="952"/>
      <c r="GLI48" s="952"/>
      <c r="GLJ48" s="952"/>
      <c r="GLK48" s="952"/>
      <c r="GLL48" s="952"/>
      <c r="GLM48" s="952"/>
      <c r="GLN48" s="952"/>
      <c r="GLO48" s="952"/>
      <c r="GLP48" s="952"/>
      <c r="GLQ48" s="952"/>
      <c r="GLR48" s="952"/>
      <c r="GLS48" s="952"/>
      <c r="GLT48" s="952"/>
      <c r="GLU48" s="952"/>
      <c r="GLV48" s="952"/>
      <c r="GLW48" s="952"/>
      <c r="GLX48" s="952"/>
      <c r="GLY48" s="952"/>
      <c r="GLZ48" s="952"/>
      <c r="GMA48" s="952"/>
      <c r="GMB48" s="952"/>
      <c r="GMC48" s="952"/>
      <c r="GMD48" s="952"/>
      <c r="GME48" s="952"/>
      <c r="GMF48" s="952"/>
      <c r="GMG48" s="952"/>
      <c r="GMH48" s="952"/>
      <c r="GMI48" s="952"/>
      <c r="GMJ48" s="952"/>
      <c r="GMK48" s="952"/>
      <c r="GML48" s="952"/>
      <c r="GMM48" s="952"/>
      <c r="GMN48" s="952"/>
      <c r="GMO48" s="952"/>
      <c r="GMP48" s="952"/>
      <c r="GMQ48" s="952"/>
      <c r="GMR48" s="952"/>
      <c r="GMS48" s="952"/>
      <c r="GMT48" s="952"/>
      <c r="GMU48" s="952"/>
      <c r="GMV48" s="952"/>
      <c r="GMW48" s="952"/>
      <c r="GMX48" s="952"/>
      <c r="GMY48" s="952"/>
      <c r="GMZ48" s="952"/>
      <c r="GNA48" s="952"/>
      <c r="GNB48" s="952"/>
      <c r="GNC48" s="952"/>
      <c r="GND48" s="952"/>
      <c r="GNE48" s="952"/>
      <c r="GNF48" s="952"/>
      <c r="GNG48" s="952"/>
      <c r="GNH48" s="952"/>
      <c r="GNI48" s="952"/>
      <c r="GNJ48" s="952"/>
      <c r="GNK48" s="952"/>
      <c r="GNL48" s="952"/>
      <c r="GNM48" s="952"/>
      <c r="GNN48" s="952"/>
      <c r="GNO48" s="952"/>
      <c r="GNP48" s="952"/>
      <c r="GNQ48" s="952"/>
      <c r="GNR48" s="952"/>
      <c r="GNS48" s="952"/>
      <c r="GNT48" s="952"/>
      <c r="GNU48" s="952"/>
      <c r="GNV48" s="952"/>
      <c r="GNW48" s="952"/>
      <c r="GNX48" s="952"/>
      <c r="GNY48" s="952"/>
      <c r="GNZ48" s="952"/>
      <c r="GOA48" s="952"/>
      <c r="GOB48" s="952"/>
      <c r="GOC48" s="952"/>
      <c r="GOD48" s="952"/>
      <c r="GOE48" s="952"/>
      <c r="GOF48" s="952"/>
      <c r="GOG48" s="952"/>
      <c r="GOH48" s="952"/>
      <c r="GOI48" s="952"/>
      <c r="GOJ48" s="952"/>
      <c r="GOK48" s="952"/>
      <c r="GOL48" s="952"/>
      <c r="GOM48" s="952"/>
      <c r="GON48" s="952"/>
      <c r="GOO48" s="952"/>
      <c r="GOP48" s="952"/>
      <c r="GOQ48" s="952"/>
      <c r="GOR48" s="952"/>
      <c r="GOS48" s="952"/>
      <c r="GOT48" s="952"/>
      <c r="GOU48" s="952"/>
      <c r="GOV48" s="952"/>
      <c r="GOW48" s="952"/>
      <c r="GOX48" s="952"/>
      <c r="GOY48" s="952"/>
      <c r="GOZ48" s="952"/>
      <c r="GPA48" s="952"/>
      <c r="GPB48" s="952"/>
      <c r="GPC48" s="952"/>
      <c r="GPD48" s="952"/>
      <c r="GPE48" s="952"/>
      <c r="GPF48" s="952"/>
      <c r="GPG48" s="952"/>
      <c r="GPH48" s="952"/>
      <c r="GPI48" s="952"/>
      <c r="GPJ48" s="952"/>
      <c r="GPK48" s="952"/>
      <c r="GPL48" s="952"/>
      <c r="GPM48" s="952"/>
      <c r="GPN48" s="952"/>
      <c r="GPO48" s="952"/>
      <c r="GPP48" s="952"/>
      <c r="GPQ48" s="952"/>
      <c r="GPR48" s="952"/>
      <c r="GPS48" s="952"/>
      <c r="GPT48" s="952"/>
      <c r="GPU48" s="952"/>
      <c r="GPV48" s="952"/>
      <c r="GPW48" s="952"/>
      <c r="GPX48" s="952"/>
      <c r="GPY48" s="952"/>
      <c r="GPZ48" s="952"/>
      <c r="GQA48" s="952"/>
      <c r="GQB48" s="952"/>
      <c r="GQC48" s="952"/>
      <c r="GQD48" s="952"/>
      <c r="GQE48" s="952"/>
      <c r="GQF48" s="952"/>
      <c r="GQG48" s="952"/>
      <c r="GQH48" s="952"/>
      <c r="GQI48" s="952"/>
      <c r="GQJ48" s="952"/>
      <c r="GQK48" s="952"/>
      <c r="GQL48" s="952"/>
      <c r="GQM48" s="952"/>
      <c r="GQN48" s="952"/>
      <c r="GQO48" s="952"/>
      <c r="GQP48" s="952"/>
      <c r="GQQ48" s="952"/>
      <c r="GQR48" s="952"/>
      <c r="GQS48" s="952"/>
      <c r="GQT48" s="952"/>
      <c r="GQU48" s="952"/>
      <c r="GQV48" s="952"/>
      <c r="GQW48" s="952"/>
      <c r="GQX48" s="952"/>
      <c r="GQY48" s="952"/>
      <c r="GQZ48" s="952"/>
      <c r="GRA48" s="952"/>
      <c r="GRB48" s="952"/>
      <c r="GRC48" s="952"/>
      <c r="GRD48" s="952"/>
      <c r="GRE48" s="952"/>
      <c r="GRF48" s="952"/>
      <c r="GRG48" s="952"/>
      <c r="GRH48" s="952"/>
      <c r="GRI48" s="952"/>
      <c r="GRJ48" s="952"/>
      <c r="GRK48" s="952"/>
      <c r="GRL48" s="952"/>
      <c r="GRM48" s="952"/>
      <c r="GRN48" s="952"/>
      <c r="GRO48" s="952"/>
      <c r="GRP48" s="952"/>
      <c r="GRQ48" s="952"/>
      <c r="GRR48" s="952"/>
      <c r="GRS48" s="952"/>
      <c r="GRT48" s="952"/>
      <c r="GRU48" s="952"/>
      <c r="GRV48" s="952"/>
      <c r="GRW48" s="952"/>
      <c r="GRX48" s="952"/>
      <c r="GRY48" s="952"/>
      <c r="GRZ48" s="952"/>
      <c r="GSA48" s="952"/>
      <c r="GSB48" s="952"/>
      <c r="GSC48" s="952"/>
      <c r="GSD48" s="952"/>
      <c r="GSE48" s="952"/>
      <c r="GSF48" s="952"/>
      <c r="GSG48" s="952"/>
      <c r="GSH48" s="952"/>
      <c r="GSI48" s="952"/>
      <c r="GSJ48" s="952"/>
      <c r="GSK48" s="952"/>
      <c r="GSL48" s="952"/>
      <c r="GSM48" s="952"/>
      <c r="GSN48" s="952"/>
      <c r="GSO48" s="952"/>
      <c r="GSP48" s="952"/>
      <c r="GSQ48" s="952"/>
      <c r="GSR48" s="952"/>
      <c r="GSS48" s="952"/>
      <c r="GST48" s="952"/>
      <c r="GSU48" s="952"/>
      <c r="GSV48" s="952"/>
      <c r="GSW48" s="952"/>
      <c r="GSX48" s="952"/>
      <c r="GSY48" s="952"/>
      <c r="GSZ48" s="952"/>
      <c r="GTA48" s="952"/>
      <c r="GTB48" s="952"/>
      <c r="GTC48" s="952"/>
      <c r="GTD48" s="952"/>
      <c r="GTE48" s="952"/>
      <c r="GTF48" s="952"/>
      <c r="GTG48" s="952"/>
      <c r="GTH48" s="952"/>
      <c r="GTI48" s="952"/>
      <c r="GTJ48" s="952"/>
      <c r="GTK48" s="952"/>
      <c r="GTL48" s="952"/>
      <c r="GTM48" s="952"/>
      <c r="GTN48" s="952"/>
      <c r="GTO48" s="952"/>
      <c r="GTP48" s="952"/>
      <c r="GTQ48" s="952"/>
      <c r="GTR48" s="952"/>
      <c r="GTS48" s="952"/>
      <c r="GTT48" s="952"/>
      <c r="GTU48" s="952"/>
      <c r="GTV48" s="952"/>
      <c r="GTW48" s="952"/>
      <c r="GTX48" s="952"/>
      <c r="GTY48" s="952"/>
      <c r="GTZ48" s="952"/>
      <c r="GUA48" s="952"/>
      <c r="GUB48" s="952"/>
      <c r="GUC48" s="952"/>
      <c r="GUD48" s="952"/>
      <c r="GUE48" s="952"/>
      <c r="GUF48" s="952"/>
      <c r="GUG48" s="952"/>
      <c r="GUH48" s="952"/>
      <c r="GUI48" s="952"/>
      <c r="GUJ48" s="952"/>
      <c r="GUK48" s="952"/>
      <c r="GUL48" s="952"/>
      <c r="GUM48" s="952"/>
      <c r="GUN48" s="952"/>
      <c r="GUO48" s="952"/>
      <c r="GUP48" s="952"/>
      <c r="GUQ48" s="952"/>
      <c r="GUR48" s="952"/>
      <c r="GUS48" s="952"/>
      <c r="GUT48" s="952"/>
      <c r="GUU48" s="952"/>
      <c r="GUV48" s="952"/>
      <c r="GUW48" s="952"/>
      <c r="GUX48" s="952"/>
      <c r="GUY48" s="952"/>
      <c r="GUZ48" s="952"/>
      <c r="GVA48" s="952"/>
      <c r="GVB48" s="952"/>
      <c r="GVC48" s="952"/>
      <c r="GVD48" s="952"/>
      <c r="GVE48" s="952"/>
      <c r="GVF48" s="952"/>
      <c r="GVG48" s="952"/>
      <c r="GVH48" s="952"/>
      <c r="GVI48" s="952"/>
      <c r="GVJ48" s="952"/>
      <c r="GVK48" s="952"/>
      <c r="GVL48" s="952"/>
      <c r="GVM48" s="952"/>
      <c r="GVN48" s="952"/>
      <c r="GVO48" s="952"/>
      <c r="GVP48" s="952"/>
      <c r="GVQ48" s="952"/>
      <c r="GVR48" s="952"/>
      <c r="GVS48" s="952"/>
      <c r="GVT48" s="952"/>
      <c r="GVU48" s="952"/>
      <c r="GVV48" s="952"/>
      <c r="GVW48" s="952"/>
      <c r="GVX48" s="952"/>
      <c r="GVY48" s="952"/>
      <c r="GVZ48" s="952"/>
      <c r="GWA48" s="952"/>
      <c r="GWB48" s="952"/>
      <c r="GWC48" s="952"/>
      <c r="GWD48" s="952"/>
      <c r="GWE48" s="952"/>
      <c r="GWF48" s="952"/>
      <c r="GWG48" s="952"/>
      <c r="GWH48" s="952"/>
      <c r="GWI48" s="952"/>
      <c r="GWJ48" s="952"/>
      <c r="GWK48" s="952"/>
      <c r="GWL48" s="952"/>
      <c r="GWM48" s="952"/>
      <c r="GWN48" s="952"/>
      <c r="GWO48" s="952"/>
      <c r="GWP48" s="952"/>
      <c r="GWQ48" s="952"/>
      <c r="GWR48" s="952"/>
      <c r="GWS48" s="952"/>
      <c r="GWT48" s="952"/>
      <c r="GWU48" s="952"/>
      <c r="GWV48" s="952"/>
      <c r="GWW48" s="952"/>
      <c r="GWX48" s="952"/>
      <c r="GWY48" s="952"/>
      <c r="GWZ48" s="952"/>
      <c r="GXA48" s="952"/>
      <c r="GXB48" s="952"/>
      <c r="GXC48" s="952"/>
      <c r="GXD48" s="952"/>
      <c r="GXE48" s="952"/>
      <c r="GXF48" s="952"/>
      <c r="GXG48" s="952"/>
      <c r="GXH48" s="952"/>
      <c r="GXI48" s="952"/>
      <c r="GXJ48" s="952"/>
      <c r="GXK48" s="952"/>
      <c r="GXL48" s="952"/>
      <c r="GXM48" s="952"/>
      <c r="GXN48" s="952"/>
      <c r="GXO48" s="952"/>
      <c r="GXP48" s="952"/>
      <c r="GXQ48" s="952"/>
      <c r="GXR48" s="952"/>
      <c r="GXS48" s="952"/>
      <c r="GXT48" s="952"/>
      <c r="GXU48" s="952"/>
      <c r="GXV48" s="952"/>
      <c r="GXW48" s="952"/>
      <c r="GXX48" s="952"/>
      <c r="GXY48" s="952"/>
      <c r="GXZ48" s="952"/>
      <c r="GYA48" s="952"/>
      <c r="GYB48" s="952"/>
      <c r="GYC48" s="952"/>
      <c r="GYD48" s="952"/>
      <c r="GYE48" s="952"/>
      <c r="GYF48" s="952"/>
      <c r="GYG48" s="952"/>
      <c r="GYH48" s="952"/>
      <c r="GYI48" s="952"/>
      <c r="GYJ48" s="952"/>
      <c r="GYK48" s="952"/>
      <c r="GYL48" s="952"/>
      <c r="GYM48" s="952"/>
      <c r="GYN48" s="952"/>
      <c r="GYO48" s="952"/>
      <c r="GYP48" s="952"/>
      <c r="GYQ48" s="952"/>
      <c r="GYR48" s="952"/>
      <c r="GYS48" s="952"/>
      <c r="GYT48" s="952"/>
      <c r="GYU48" s="952"/>
      <c r="GYV48" s="952"/>
      <c r="GYW48" s="952"/>
      <c r="GYX48" s="952"/>
      <c r="GYY48" s="952"/>
      <c r="GYZ48" s="952"/>
      <c r="GZA48" s="952"/>
      <c r="GZB48" s="952"/>
      <c r="GZC48" s="952"/>
      <c r="GZD48" s="952"/>
      <c r="GZE48" s="952"/>
      <c r="GZF48" s="952"/>
      <c r="GZG48" s="952"/>
      <c r="GZH48" s="952"/>
      <c r="GZI48" s="952"/>
      <c r="GZJ48" s="952"/>
      <c r="GZK48" s="952"/>
      <c r="GZL48" s="952"/>
      <c r="GZM48" s="952"/>
      <c r="GZN48" s="952"/>
      <c r="GZO48" s="952"/>
      <c r="GZP48" s="952"/>
      <c r="GZQ48" s="952"/>
      <c r="GZR48" s="952"/>
      <c r="GZS48" s="952"/>
      <c r="GZT48" s="952"/>
      <c r="GZU48" s="952"/>
      <c r="GZV48" s="952"/>
      <c r="GZW48" s="952"/>
      <c r="GZX48" s="952"/>
      <c r="GZY48" s="952"/>
      <c r="GZZ48" s="952"/>
      <c r="HAA48" s="952"/>
      <c r="HAB48" s="952"/>
      <c r="HAC48" s="952"/>
      <c r="HAD48" s="952"/>
      <c r="HAE48" s="952"/>
      <c r="HAF48" s="952"/>
      <c r="HAG48" s="952"/>
      <c r="HAH48" s="952"/>
      <c r="HAI48" s="952"/>
      <c r="HAJ48" s="952"/>
      <c r="HAK48" s="952"/>
      <c r="HAL48" s="952"/>
      <c r="HAM48" s="952"/>
      <c r="HAN48" s="952"/>
      <c r="HAO48" s="952"/>
      <c r="HAP48" s="952"/>
      <c r="HAQ48" s="952"/>
      <c r="HAR48" s="952"/>
      <c r="HAS48" s="952"/>
      <c r="HAT48" s="952"/>
      <c r="HAU48" s="952"/>
      <c r="HAV48" s="952"/>
      <c r="HAW48" s="952"/>
      <c r="HAX48" s="952"/>
      <c r="HAY48" s="952"/>
      <c r="HAZ48" s="952"/>
      <c r="HBA48" s="952"/>
      <c r="HBB48" s="952"/>
      <c r="HBC48" s="952"/>
      <c r="HBD48" s="952"/>
      <c r="HBE48" s="952"/>
      <c r="HBF48" s="952"/>
      <c r="HBG48" s="952"/>
      <c r="HBH48" s="952"/>
      <c r="HBI48" s="952"/>
      <c r="HBJ48" s="952"/>
      <c r="HBK48" s="952"/>
      <c r="HBL48" s="952"/>
      <c r="HBM48" s="952"/>
      <c r="HBN48" s="952"/>
      <c r="HBO48" s="952"/>
      <c r="HBP48" s="952"/>
      <c r="HBQ48" s="952"/>
      <c r="HBR48" s="952"/>
      <c r="HBS48" s="952"/>
      <c r="HBT48" s="952"/>
      <c r="HBU48" s="952"/>
      <c r="HBV48" s="952"/>
      <c r="HBW48" s="952"/>
      <c r="HBX48" s="952"/>
      <c r="HBY48" s="952"/>
      <c r="HBZ48" s="952"/>
      <c r="HCA48" s="952"/>
      <c r="HCB48" s="952"/>
      <c r="HCC48" s="952"/>
      <c r="HCD48" s="952"/>
      <c r="HCE48" s="952"/>
      <c r="HCF48" s="952"/>
      <c r="HCG48" s="952"/>
      <c r="HCH48" s="952"/>
      <c r="HCI48" s="952"/>
      <c r="HCJ48" s="952"/>
      <c r="HCK48" s="952"/>
      <c r="HCL48" s="952"/>
      <c r="HCM48" s="952"/>
      <c r="HCN48" s="952"/>
      <c r="HCO48" s="952"/>
      <c r="HCP48" s="952"/>
      <c r="HCQ48" s="952"/>
      <c r="HCR48" s="952"/>
      <c r="HCS48" s="952"/>
      <c r="HCT48" s="952"/>
      <c r="HCU48" s="952"/>
      <c r="HCV48" s="952"/>
      <c r="HCW48" s="952"/>
      <c r="HCX48" s="952"/>
      <c r="HCY48" s="952"/>
      <c r="HCZ48" s="952"/>
      <c r="HDA48" s="952"/>
      <c r="HDB48" s="952"/>
      <c r="HDC48" s="952"/>
      <c r="HDD48" s="952"/>
      <c r="HDE48" s="952"/>
      <c r="HDF48" s="952"/>
      <c r="HDG48" s="952"/>
      <c r="HDH48" s="952"/>
      <c r="HDI48" s="952"/>
      <c r="HDJ48" s="952"/>
      <c r="HDK48" s="952"/>
      <c r="HDL48" s="952"/>
      <c r="HDM48" s="952"/>
      <c r="HDN48" s="952"/>
      <c r="HDO48" s="952"/>
      <c r="HDP48" s="952"/>
      <c r="HDQ48" s="952"/>
      <c r="HDR48" s="952"/>
      <c r="HDS48" s="952"/>
      <c r="HDT48" s="952"/>
      <c r="HDU48" s="952"/>
      <c r="HDV48" s="952"/>
      <c r="HDW48" s="952"/>
      <c r="HDX48" s="952"/>
      <c r="HDY48" s="952"/>
      <c r="HDZ48" s="952"/>
      <c r="HEA48" s="952"/>
      <c r="HEB48" s="952"/>
      <c r="HEC48" s="952"/>
      <c r="HED48" s="952"/>
      <c r="HEE48" s="952"/>
      <c r="HEF48" s="952"/>
      <c r="HEG48" s="952"/>
      <c r="HEH48" s="952"/>
      <c r="HEI48" s="952"/>
      <c r="HEJ48" s="952"/>
      <c r="HEK48" s="952"/>
      <c r="HEL48" s="952"/>
      <c r="HEM48" s="952"/>
      <c r="HEN48" s="952"/>
      <c r="HEO48" s="952"/>
      <c r="HEP48" s="952"/>
      <c r="HEQ48" s="952"/>
      <c r="HER48" s="952"/>
      <c r="HES48" s="952"/>
      <c r="HET48" s="952"/>
      <c r="HEU48" s="952"/>
      <c r="HEV48" s="952"/>
      <c r="HEW48" s="952"/>
      <c r="HEX48" s="952"/>
      <c r="HEY48" s="952"/>
      <c r="HEZ48" s="952"/>
      <c r="HFA48" s="952"/>
      <c r="HFB48" s="952"/>
      <c r="HFC48" s="952"/>
      <c r="HFD48" s="952"/>
      <c r="HFE48" s="952"/>
      <c r="HFF48" s="952"/>
      <c r="HFG48" s="952"/>
      <c r="HFH48" s="952"/>
      <c r="HFI48" s="952"/>
      <c r="HFJ48" s="952"/>
      <c r="HFK48" s="952"/>
      <c r="HFL48" s="952"/>
      <c r="HFM48" s="952"/>
      <c r="HFN48" s="952"/>
      <c r="HFO48" s="952"/>
      <c r="HFP48" s="952"/>
      <c r="HFQ48" s="952"/>
      <c r="HFR48" s="952"/>
      <c r="HFS48" s="952"/>
      <c r="HFT48" s="952"/>
      <c r="HFU48" s="952"/>
      <c r="HFV48" s="952"/>
      <c r="HFW48" s="952"/>
      <c r="HFX48" s="952"/>
      <c r="HFY48" s="952"/>
      <c r="HFZ48" s="952"/>
      <c r="HGA48" s="952"/>
      <c r="HGB48" s="952"/>
      <c r="HGC48" s="952"/>
      <c r="HGD48" s="952"/>
      <c r="HGE48" s="952"/>
      <c r="HGF48" s="952"/>
      <c r="HGG48" s="952"/>
      <c r="HGH48" s="952"/>
      <c r="HGI48" s="952"/>
      <c r="HGJ48" s="952"/>
      <c r="HGK48" s="952"/>
      <c r="HGL48" s="952"/>
      <c r="HGM48" s="952"/>
      <c r="HGN48" s="952"/>
      <c r="HGO48" s="952"/>
      <c r="HGP48" s="952"/>
      <c r="HGQ48" s="952"/>
      <c r="HGR48" s="952"/>
      <c r="HGS48" s="952"/>
      <c r="HGT48" s="952"/>
      <c r="HGU48" s="952"/>
      <c r="HGV48" s="952"/>
      <c r="HGW48" s="952"/>
      <c r="HGX48" s="952"/>
      <c r="HGY48" s="952"/>
      <c r="HGZ48" s="952"/>
      <c r="HHA48" s="952"/>
      <c r="HHB48" s="952"/>
      <c r="HHC48" s="952"/>
      <c r="HHD48" s="952"/>
      <c r="HHE48" s="952"/>
      <c r="HHF48" s="952"/>
      <c r="HHG48" s="952"/>
      <c r="HHH48" s="952"/>
      <c r="HHI48" s="952"/>
      <c r="HHJ48" s="952"/>
      <c r="HHK48" s="952"/>
      <c r="HHL48" s="952"/>
      <c r="HHM48" s="952"/>
      <c r="HHN48" s="952"/>
      <c r="HHO48" s="952"/>
      <c r="HHP48" s="952"/>
      <c r="HHQ48" s="952"/>
      <c r="HHR48" s="952"/>
      <c r="HHS48" s="952"/>
      <c r="HHT48" s="952"/>
      <c r="HHU48" s="952"/>
      <c r="HHV48" s="952"/>
      <c r="HHW48" s="952"/>
      <c r="HHX48" s="952"/>
      <c r="HHY48" s="952"/>
      <c r="HHZ48" s="952"/>
      <c r="HIA48" s="952"/>
      <c r="HIB48" s="952"/>
      <c r="HIC48" s="952"/>
      <c r="HID48" s="952"/>
      <c r="HIE48" s="952"/>
      <c r="HIF48" s="952"/>
      <c r="HIG48" s="952"/>
      <c r="HIH48" s="952"/>
      <c r="HII48" s="952"/>
      <c r="HIJ48" s="952"/>
      <c r="HIK48" s="952"/>
      <c r="HIL48" s="952"/>
      <c r="HIM48" s="952"/>
      <c r="HIN48" s="952"/>
      <c r="HIO48" s="952"/>
      <c r="HIP48" s="952"/>
      <c r="HIQ48" s="952"/>
      <c r="HIR48" s="952"/>
      <c r="HIS48" s="952"/>
      <c r="HIT48" s="952"/>
      <c r="HIU48" s="952"/>
      <c r="HIV48" s="952"/>
      <c r="HIW48" s="952"/>
      <c r="HIX48" s="952"/>
      <c r="HIY48" s="952"/>
      <c r="HIZ48" s="952"/>
      <c r="HJA48" s="952"/>
      <c r="HJB48" s="952"/>
      <c r="HJC48" s="952"/>
      <c r="HJD48" s="952"/>
      <c r="HJE48" s="952"/>
      <c r="HJF48" s="952"/>
      <c r="HJG48" s="952"/>
      <c r="HJH48" s="952"/>
      <c r="HJI48" s="952"/>
      <c r="HJJ48" s="952"/>
      <c r="HJK48" s="952"/>
      <c r="HJL48" s="952"/>
      <c r="HJM48" s="952"/>
      <c r="HJN48" s="952"/>
      <c r="HJO48" s="952"/>
      <c r="HJP48" s="952"/>
      <c r="HJQ48" s="952"/>
      <c r="HJR48" s="952"/>
      <c r="HJS48" s="952"/>
      <c r="HJT48" s="952"/>
      <c r="HJU48" s="952"/>
      <c r="HJV48" s="952"/>
      <c r="HJW48" s="952"/>
      <c r="HJX48" s="952"/>
      <c r="HJY48" s="952"/>
      <c r="HJZ48" s="952"/>
      <c r="HKA48" s="952"/>
      <c r="HKB48" s="952"/>
      <c r="HKC48" s="952"/>
      <c r="HKD48" s="952"/>
      <c r="HKE48" s="952"/>
      <c r="HKF48" s="952"/>
      <c r="HKG48" s="952"/>
      <c r="HKH48" s="952"/>
      <c r="HKI48" s="952"/>
      <c r="HKJ48" s="952"/>
      <c r="HKK48" s="952"/>
      <c r="HKL48" s="952"/>
      <c r="HKM48" s="952"/>
      <c r="HKN48" s="952"/>
      <c r="HKO48" s="952"/>
      <c r="HKP48" s="952"/>
      <c r="HKQ48" s="952"/>
      <c r="HKR48" s="952"/>
      <c r="HKS48" s="952"/>
      <c r="HKT48" s="952"/>
      <c r="HKU48" s="952"/>
      <c r="HKV48" s="952"/>
      <c r="HKW48" s="952"/>
      <c r="HKX48" s="952"/>
      <c r="HKY48" s="952"/>
      <c r="HKZ48" s="952"/>
      <c r="HLA48" s="952"/>
      <c r="HLB48" s="952"/>
      <c r="HLC48" s="952"/>
      <c r="HLD48" s="952"/>
      <c r="HLE48" s="952"/>
      <c r="HLF48" s="952"/>
      <c r="HLG48" s="952"/>
      <c r="HLH48" s="952"/>
      <c r="HLI48" s="952"/>
      <c r="HLJ48" s="952"/>
      <c r="HLK48" s="952"/>
      <c r="HLL48" s="952"/>
      <c r="HLM48" s="952"/>
      <c r="HLN48" s="952"/>
      <c r="HLO48" s="952"/>
      <c r="HLP48" s="952"/>
      <c r="HLQ48" s="952"/>
      <c r="HLR48" s="952"/>
      <c r="HLS48" s="952"/>
      <c r="HLT48" s="952"/>
      <c r="HLU48" s="952"/>
      <c r="HLV48" s="952"/>
      <c r="HLW48" s="952"/>
      <c r="HLX48" s="952"/>
      <c r="HLY48" s="952"/>
      <c r="HLZ48" s="952"/>
      <c r="HMA48" s="952"/>
      <c r="HMB48" s="952"/>
      <c r="HMC48" s="952"/>
      <c r="HMD48" s="952"/>
      <c r="HME48" s="952"/>
      <c r="HMF48" s="952"/>
      <c r="HMG48" s="952"/>
      <c r="HMH48" s="952"/>
      <c r="HMI48" s="952"/>
      <c r="HMJ48" s="952"/>
      <c r="HMK48" s="952"/>
      <c r="HML48" s="952"/>
      <c r="HMM48" s="952"/>
      <c r="HMN48" s="952"/>
      <c r="HMO48" s="952"/>
      <c r="HMP48" s="952"/>
      <c r="HMQ48" s="952"/>
      <c r="HMR48" s="952"/>
      <c r="HMS48" s="952"/>
      <c r="HMT48" s="952"/>
      <c r="HMU48" s="952"/>
      <c r="HMV48" s="952"/>
      <c r="HMW48" s="952"/>
      <c r="HMX48" s="952"/>
      <c r="HMY48" s="952"/>
      <c r="HMZ48" s="952"/>
      <c r="HNA48" s="952"/>
      <c r="HNB48" s="952"/>
      <c r="HNC48" s="952"/>
      <c r="HND48" s="952"/>
      <c r="HNE48" s="952"/>
      <c r="HNF48" s="952"/>
      <c r="HNG48" s="952"/>
      <c r="HNH48" s="952"/>
      <c r="HNI48" s="952"/>
      <c r="HNJ48" s="952"/>
      <c r="HNK48" s="952"/>
      <c r="HNL48" s="952"/>
      <c r="HNM48" s="952"/>
      <c r="HNN48" s="952"/>
      <c r="HNO48" s="952"/>
      <c r="HNP48" s="952"/>
      <c r="HNQ48" s="952"/>
      <c r="HNR48" s="952"/>
      <c r="HNS48" s="952"/>
      <c r="HNT48" s="952"/>
      <c r="HNU48" s="952"/>
      <c r="HNV48" s="952"/>
      <c r="HNW48" s="952"/>
      <c r="HNX48" s="952"/>
      <c r="HNY48" s="952"/>
      <c r="HNZ48" s="952"/>
      <c r="HOA48" s="952"/>
      <c r="HOB48" s="952"/>
      <c r="HOC48" s="952"/>
      <c r="HOD48" s="952"/>
      <c r="HOE48" s="952"/>
      <c r="HOF48" s="952"/>
      <c r="HOG48" s="952"/>
      <c r="HOH48" s="952"/>
      <c r="HOI48" s="952"/>
      <c r="HOJ48" s="952"/>
      <c r="HOK48" s="952"/>
      <c r="HOL48" s="952"/>
      <c r="HOM48" s="952"/>
      <c r="HON48" s="952"/>
      <c r="HOO48" s="952"/>
      <c r="HOP48" s="952"/>
      <c r="HOQ48" s="952"/>
      <c r="HOR48" s="952"/>
      <c r="HOS48" s="952"/>
      <c r="HOT48" s="952"/>
      <c r="HOU48" s="952"/>
      <c r="HOV48" s="952"/>
      <c r="HOW48" s="952"/>
      <c r="HOX48" s="952"/>
      <c r="HOY48" s="952"/>
      <c r="HOZ48" s="952"/>
      <c r="HPA48" s="952"/>
      <c r="HPB48" s="952"/>
      <c r="HPC48" s="952"/>
      <c r="HPD48" s="952"/>
      <c r="HPE48" s="952"/>
      <c r="HPF48" s="952"/>
      <c r="HPG48" s="952"/>
      <c r="HPH48" s="952"/>
      <c r="HPI48" s="952"/>
      <c r="HPJ48" s="952"/>
      <c r="HPK48" s="952"/>
      <c r="HPL48" s="952"/>
      <c r="HPM48" s="952"/>
      <c r="HPN48" s="952"/>
      <c r="HPO48" s="952"/>
      <c r="HPP48" s="952"/>
      <c r="HPQ48" s="952"/>
      <c r="HPR48" s="952"/>
      <c r="HPS48" s="952"/>
      <c r="HPT48" s="952"/>
      <c r="HPU48" s="952"/>
      <c r="HPV48" s="952"/>
      <c r="HPW48" s="952"/>
      <c r="HPX48" s="952"/>
      <c r="HPY48" s="952"/>
      <c r="HPZ48" s="952"/>
      <c r="HQA48" s="952"/>
      <c r="HQB48" s="952"/>
      <c r="HQC48" s="952"/>
      <c r="HQD48" s="952"/>
      <c r="HQE48" s="952"/>
      <c r="HQF48" s="952"/>
      <c r="HQG48" s="952"/>
      <c r="HQH48" s="952"/>
      <c r="HQI48" s="952"/>
      <c r="HQJ48" s="952"/>
      <c r="HQK48" s="952"/>
      <c r="HQL48" s="952"/>
      <c r="HQM48" s="952"/>
      <c r="HQN48" s="952"/>
      <c r="HQO48" s="952"/>
      <c r="HQP48" s="952"/>
      <c r="HQQ48" s="952"/>
      <c r="HQR48" s="952"/>
      <c r="HQS48" s="952"/>
      <c r="HQT48" s="952"/>
      <c r="HQU48" s="952"/>
      <c r="HQV48" s="952"/>
      <c r="HQW48" s="952"/>
      <c r="HQX48" s="952"/>
      <c r="HQY48" s="952"/>
      <c r="HQZ48" s="952"/>
      <c r="HRA48" s="952"/>
      <c r="HRB48" s="952"/>
      <c r="HRC48" s="952"/>
      <c r="HRD48" s="952"/>
      <c r="HRE48" s="952"/>
      <c r="HRF48" s="952"/>
      <c r="HRG48" s="952"/>
      <c r="HRH48" s="952"/>
      <c r="HRI48" s="952"/>
      <c r="HRJ48" s="952"/>
      <c r="HRK48" s="952"/>
      <c r="HRL48" s="952"/>
      <c r="HRM48" s="952"/>
      <c r="HRN48" s="952"/>
      <c r="HRO48" s="952"/>
      <c r="HRP48" s="952"/>
      <c r="HRQ48" s="952"/>
      <c r="HRR48" s="952"/>
      <c r="HRS48" s="952"/>
      <c r="HRT48" s="952"/>
      <c r="HRU48" s="952"/>
      <c r="HRV48" s="952"/>
      <c r="HRW48" s="952"/>
      <c r="HRX48" s="952"/>
      <c r="HRY48" s="952"/>
      <c r="HRZ48" s="952"/>
      <c r="HSA48" s="952"/>
      <c r="HSB48" s="952"/>
      <c r="HSC48" s="952"/>
      <c r="HSD48" s="952"/>
      <c r="HSE48" s="952"/>
      <c r="HSF48" s="952"/>
      <c r="HSG48" s="952"/>
      <c r="HSH48" s="952"/>
      <c r="HSI48" s="952"/>
      <c r="HSJ48" s="952"/>
      <c r="HSK48" s="952"/>
      <c r="HSL48" s="952"/>
      <c r="HSM48" s="952"/>
      <c r="HSN48" s="952"/>
      <c r="HSO48" s="952"/>
      <c r="HSP48" s="952"/>
      <c r="HSQ48" s="952"/>
      <c r="HSR48" s="952"/>
      <c r="HSS48" s="952"/>
      <c r="HST48" s="952"/>
      <c r="HSU48" s="952"/>
      <c r="HSV48" s="952"/>
      <c r="HSW48" s="952"/>
      <c r="HSX48" s="952"/>
      <c r="HSY48" s="952"/>
      <c r="HSZ48" s="952"/>
      <c r="HTA48" s="952"/>
      <c r="HTB48" s="952"/>
      <c r="HTC48" s="952"/>
      <c r="HTD48" s="952"/>
      <c r="HTE48" s="952"/>
      <c r="HTF48" s="952"/>
      <c r="HTG48" s="952"/>
      <c r="HTH48" s="952"/>
      <c r="HTI48" s="952"/>
      <c r="HTJ48" s="952"/>
      <c r="HTK48" s="952"/>
      <c r="HTL48" s="952"/>
      <c r="HTM48" s="952"/>
      <c r="HTN48" s="952"/>
      <c r="HTO48" s="952"/>
      <c r="HTP48" s="952"/>
      <c r="HTQ48" s="952"/>
      <c r="HTR48" s="952"/>
      <c r="HTS48" s="952"/>
      <c r="HTT48" s="952"/>
      <c r="HTU48" s="952"/>
      <c r="HTV48" s="952"/>
      <c r="HTW48" s="952"/>
      <c r="HTX48" s="952"/>
      <c r="HTY48" s="952"/>
      <c r="HTZ48" s="952"/>
      <c r="HUA48" s="952"/>
      <c r="HUB48" s="952"/>
      <c r="HUC48" s="952"/>
      <c r="HUD48" s="952"/>
      <c r="HUE48" s="952"/>
      <c r="HUF48" s="952"/>
      <c r="HUG48" s="952"/>
      <c r="HUH48" s="952"/>
      <c r="HUI48" s="952"/>
      <c r="HUJ48" s="952"/>
      <c r="HUK48" s="952"/>
      <c r="HUL48" s="952"/>
      <c r="HUM48" s="952"/>
      <c r="HUN48" s="952"/>
      <c r="HUO48" s="952"/>
      <c r="HUP48" s="952"/>
      <c r="HUQ48" s="952"/>
      <c r="HUR48" s="952"/>
      <c r="HUS48" s="952"/>
      <c r="HUT48" s="952"/>
      <c r="HUU48" s="952"/>
      <c r="HUV48" s="952"/>
      <c r="HUW48" s="952"/>
      <c r="HUX48" s="952"/>
      <c r="HUY48" s="952"/>
      <c r="HUZ48" s="952"/>
      <c r="HVA48" s="952"/>
      <c r="HVB48" s="952"/>
      <c r="HVC48" s="952"/>
      <c r="HVD48" s="952"/>
      <c r="HVE48" s="952"/>
      <c r="HVF48" s="952"/>
      <c r="HVG48" s="952"/>
      <c r="HVH48" s="952"/>
      <c r="HVI48" s="952"/>
      <c r="HVJ48" s="952"/>
      <c r="HVK48" s="952"/>
      <c r="HVL48" s="952"/>
      <c r="HVM48" s="952"/>
      <c r="HVN48" s="952"/>
      <c r="HVO48" s="952"/>
      <c r="HVP48" s="952"/>
      <c r="HVQ48" s="952"/>
      <c r="HVR48" s="952"/>
      <c r="HVS48" s="952"/>
      <c r="HVT48" s="952"/>
      <c r="HVU48" s="952"/>
      <c r="HVV48" s="952"/>
      <c r="HVW48" s="952"/>
      <c r="HVX48" s="952"/>
      <c r="HVY48" s="952"/>
      <c r="HVZ48" s="952"/>
      <c r="HWA48" s="952"/>
      <c r="HWB48" s="952"/>
      <c r="HWC48" s="952"/>
      <c r="HWD48" s="952"/>
      <c r="HWE48" s="952"/>
      <c r="HWF48" s="952"/>
      <c r="HWG48" s="952"/>
      <c r="HWH48" s="952"/>
      <c r="HWI48" s="952"/>
      <c r="HWJ48" s="952"/>
      <c r="HWK48" s="952"/>
      <c r="HWL48" s="952"/>
      <c r="HWM48" s="952"/>
      <c r="HWN48" s="952"/>
      <c r="HWO48" s="952"/>
      <c r="HWP48" s="952"/>
      <c r="HWQ48" s="952"/>
      <c r="HWR48" s="952"/>
      <c r="HWS48" s="952"/>
      <c r="HWT48" s="952"/>
      <c r="HWU48" s="952"/>
      <c r="HWV48" s="952"/>
      <c r="HWW48" s="952"/>
      <c r="HWX48" s="952"/>
      <c r="HWY48" s="952"/>
      <c r="HWZ48" s="952"/>
      <c r="HXA48" s="952"/>
      <c r="HXB48" s="952"/>
      <c r="HXC48" s="952"/>
      <c r="HXD48" s="952"/>
      <c r="HXE48" s="952"/>
      <c r="HXF48" s="952"/>
      <c r="HXG48" s="952"/>
      <c r="HXH48" s="952"/>
      <c r="HXI48" s="952"/>
      <c r="HXJ48" s="952"/>
      <c r="HXK48" s="952"/>
      <c r="HXL48" s="952"/>
      <c r="HXM48" s="952"/>
      <c r="HXN48" s="952"/>
      <c r="HXO48" s="952"/>
      <c r="HXP48" s="952"/>
      <c r="HXQ48" s="952"/>
      <c r="HXR48" s="952"/>
      <c r="HXS48" s="952"/>
      <c r="HXT48" s="952"/>
      <c r="HXU48" s="952"/>
      <c r="HXV48" s="952"/>
      <c r="HXW48" s="952"/>
      <c r="HXX48" s="952"/>
      <c r="HXY48" s="952"/>
      <c r="HXZ48" s="952"/>
      <c r="HYA48" s="952"/>
      <c r="HYB48" s="952"/>
      <c r="HYC48" s="952"/>
      <c r="HYD48" s="952"/>
      <c r="HYE48" s="952"/>
      <c r="HYF48" s="952"/>
      <c r="HYG48" s="952"/>
      <c r="HYH48" s="952"/>
      <c r="HYI48" s="952"/>
      <c r="HYJ48" s="952"/>
      <c r="HYK48" s="952"/>
      <c r="HYL48" s="952"/>
      <c r="HYM48" s="952"/>
      <c r="HYN48" s="952"/>
      <c r="HYO48" s="952"/>
      <c r="HYP48" s="952"/>
      <c r="HYQ48" s="952"/>
      <c r="HYR48" s="952"/>
      <c r="HYS48" s="952"/>
      <c r="HYT48" s="952"/>
      <c r="HYU48" s="952"/>
      <c r="HYV48" s="952"/>
      <c r="HYW48" s="952"/>
      <c r="HYX48" s="952"/>
      <c r="HYY48" s="952"/>
      <c r="HYZ48" s="952"/>
      <c r="HZA48" s="952"/>
      <c r="HZB48" s="952"/>
      <c r="HZC48" s="952"/>
      <c r="HZD48" s="952"/>
      <c r="HZE48" s="952"/>
      <c r="HZF48" s="952"/>
      <c r="HZG48" s="952"/>
      <c r="HZH48" s="952"/>
      <c r="HZI48" s="952"/>
      <c r="HZJ48" s="952"/>
      <c r="HZK48" s="952"/>
      <c r="HZL48" s="952"/>
      <c r="HZM48" s="952"/>
      <c r="HZN48" s="952"/>
      <c r="HZO48" s="952"/>
      <c r="HZP48" s="952"/>
      <c r="HZQ48" s="952"/>
      <c r="HZR48" s="952"/>
      <c r="HZS48" s="952"/>
      <c r="HZT48" s="952"/>
      <c r="HZU48" s="952"/>
      <c r="HZV48" s="952"/>
      <c r="HZW48" s="952"/>
      <c r="HZX48" s="952"/>
      <c r="HZY48" s="952"/>
      <c r="HZZ48" s="952"/>
      <c r="IAA48" s="952"/>
      <c r="IAB48" s="952"/>
      <c r="IAC48" s="952"/>
      <c r="IAD48" s="952"/>
      <c r="IAE48" s="952"/>
      <c r="IAF48" s="952"/>
      <c r="IAG48" s="952"/>
      <c r="IAH48" s="952"/>
      <c r="IAI48" s="952"/>
      <c r="IAJ48" s="952"/>
      <c r="IAK48" s="952"/>
      <c r="IAL48" s="952"/>
      <c r="IAM48" s="952"/>
      <c r="IAN48" s="952"/>
      <c r="IAO48" s="952"/>
      <c r="IAP48" s="952"/>
      <c r="IAQ48" s="952"/>
      <c r="IAR48" s="952"/>
      <c r="IAS48" s="952"/>
      <c r="IAT48" s="952"/>
      <c r="IAU48" s="952"/>
      <c r="IAV48" s="952"/>
      <c r="IAW48" s="952"/>
      <c r="IAX48" s="952"/>
      <c r="IAY48" s="952"/>
      <c r="IAZ48" s="952"/>
      <c r="IBA48" s="952"/>
      <c r="IBB48" s="952"/>
      <c r="IBC48" s="952"/>
      <c r="IBD48" s="952"/>
      <c r="IBE48" s="952"/>
      <c r="IBF48" s="952"/>
      <c r="IBG48" s="952"/>
      <c r="IBH48" s="952"/>
      <c r="IBI48" s="952"/>
      <c r="IBJ48" s="952"/>
      <c r="IBK48" s="952"/>
      <c r="IBL48" s="952"/>
      <c r="IBM48" s="952"/>
      <c r="IBN48" s="952"/>
      <c r="IBO48" s="952"/>
      <c r="IBP48" s="952"/>
      <c r="IBQ48" s="952"/>
      <c r="IBR48" s="952"/>
      <c r="IBS48" s="952"/>
      <c r="IBT48" s="952"/>
      <c r="IBU48" s="952"/>
      <c r="IBV48" s="952"/>
      <c r="IBW48" s="952"/>
      <c r="IBX48" s="952"/>
      <c r="IBY48" s="952"/>
      <c r="IBZ48" s="952"/>
      <c r="ICA48" s="952"/>
      <c r="ICB48" s="952"/>
      <c r="ICC48" s="952"/>
      <c r="ICD48" s="952"/>
      <c r="ICE48" s="952"/>
      <c r="ICF48" s="952"/>
      <c r="ICG48" s="952"/>
      <c r="ICH48" s="952"/>
      <c r="ICI48" s="952"/>
      <c r="ICJ48" s="952"/>
      <c r="ICK48" s="952"/>
      <c r="ICL48" s="952"/>
      <c r="ICM48" s="952"/>
      <c r="ICN48" s="952"/>
      <c r="ICO48" s="952"/>
      <c r="ICP48" s="952"/>
      <c r="ICQ48" s="952"/>
      <c r="ICR48" s="952"/>
      <c r="ICS48" s="952"/>
      <c r="ICT48" s="952"/>
      <c r="ICU48" s="952"/>
      <c r="ICV48" s="952"/>
      <c r="ICW48" s="952"/>
      <c r="ICX48" s="952"/>
      <c r="ICY48" s="952"/>
      <c r="ICZ48" s="952"/>
      <c r="IDA48" s="952"/>
      <c r="IDB48" s="952"/>
      <c r="IDC48" s="952"/>
      <c r="IDD48" s="952"/>
      <c r="IDE48" s="952"/>
      <c r="IDF48" s="952"/>
      <c r="IDG48" s="952"/>
      <c r="IDH48" s="952"/>
      <c r="IDI48" s="952"/>
      <c r="IDJ48" s="952"/>
      <c r="IDK48" s="952"/>
      <c r="IDL48" s="952"/>
      <c r="IDM48" s="952"/>
      <c r="IDN48" s="952"/>
      <c r="IDO48" s="952"/>
      <c r="IDP48" s="952"/>
      <c r="IDQ48" s="952"/>
      <c r="IDR48" s="952"/>
      <c r="IDS48" s="952"/>
      <c r="IDT48" s="952"/>
      <c r="IDU48" s="952"/>
      <c r="IDV48" s="952"/>
      <c r="IDW48" s="952"/>
      <c r="IDX48" s="952"/>
      <c r="IDY48" s="952"/>
      <c r="IDZ48" s="952"/>
      <c r="IEA48" s="952"/>
      <c r="IEB48" s="952"/>
      <c r="IEC48" s="952"/>
      <c r="IED48" s="952"/>
      <c r="IEE48" s="952"/>
      <c r="IEF48" s="952"/>
      <c r="IEG48" s="952"/>
      <c r="IEH48" s="952"/>
      <c r="IEI48" s="952"/>
      <c r="IEJ48" s="952"/>
      <c r="IEK48" s="952"/>
      <c r="IEL48" s="952"/>
      <c r="IEM48" s="952"/>
      <c r="IEN48" s="952"/>
      <c r="IEO48" s="952"/>
      <c r="IEP48" s="952"/>
      <c r="IEQ48" s="952"/>
      <c r="IER48" s="952"/>
      <c r="IES48" s="952"/>
      <c r="IET48" s="952"/>
      <c r="IEU48" s="952"/>
      <c r="IEV48" s="952"/>
      <c r="IEW48" s="952"/>
      <c r="IEX48" s="952"/>
      <c r="IEY48" s="952"/>
      <c r="IEZ48" s="952"/>
      <c r="IFA48" s="952"/>
      <c r="IFB48" s="952"/>
      <c r="IFC48" s="952"/>
      <c r="IFD48" s="952"/>
      <c r="IFE48" s="952"/>
      <c r="IFF48" s="952"/>
      <c r="IFG48" s="952"/>
      <c r="IFH48" s="952"/>
      <c r="IFI48" s="952"/>
      <c r="IFJ48" s="952"/>
      <c r="IFK48" s="952"/>
      <c r="IFL48" s="952"/>
      <c r="IFM48" s="952"/>
      <c r="IFN48" s="952"/>
      <c r="IFO48" s="952"/>
      <c r="IFP48" s="952"/>
      <c r="IFQ48" s="952"/>
      <c r="IFR48" s="952"/>
      <c r="IFS48" s="952"/>
      <c r="IFT48" s="952"/>
      <c r="IFU48" s="952"/>
      <c r="IFV48" s="952"/>
      <c r="IFW48" s="952"/>
      <c r="IFX48" s="952"/>
      <c r="IFY48" s="952"/>
      <c r="IFZ48" s="952"/>
      <c r="IGA48" s="952"/>
      <c r="IGB48" s="952"/>
      <c r="IGC48" s="952"/>
      <c r="IGD48" s="952"/>
      <c r="IGE48" s="952"/>
      <c r="IGF48" s="952"/>
      <c r="IGG48" s="952"/>
      <c r="IGH48" s="952"/>
      <c r="IGI48" s="952"/>
      <c r="IGJ48" s="952"/>
      <c r="IGK48" s="952"/>
      <c r="IGL48" s="952"/>
      <c r="IGM48" s="952"/>
      <c r="IGN48" s="952"/>
      <c r="IGO48" s="952"/>
      <c r="IGP48" s="952"/>
      <c r="IGQ48" s="952"/>
      <c r="IGR48" s="952"/>
      <c r="IGS48" s="952"/>
      <c r="IGT48" s="952"/>
      <c r="IGU48" s="952"/>
      <c r="IGV48" s="952"/>
      <c r="IGW48" s="952"/>
      <c r="IGX48" s="952"/>
      <c r="IGY48" s="952"/>
      <c r="IGZ48" s="952"/>
      <c r="IHA48" s="952"/>
      <c r="IHB48" s="952"/>
      <c r="IHC48" s="952"/>
      <c r="IHD48" s="952"/>
      <c r="IHE48" s="952"/>
      <c r="IHF48" s="952"/>
      <c r="IHG48" s="952"/>
      <c r="IHH48" s="952"/>
      <c r="IHI48" s="952"/>
      <c r="IHJ48" s="952"/>
      <c r="IHK48" s="952"/>
      <c r="IHL48" s="952"/>
      <c r="IHM48" s="952"/>
      <c r="IHN48" s="952"/>
      <c r="IHO48" s="952"/>
      <c r="IHP48" s="952"/>
      <c r="IHQ48" s="952"/>
      <c r="IHR48" s="952"/>
      <c r="IHS48" s="952"/>
      <c r="IHT48" s="952"/>
      <c r="IHU48" s="952"/>
      <c r="IHV48" s="952"/>
      <c r="IHW48" s="952"/>
      <c r="IHX48" s="952"/>
      <c r="IHY48" s="952"/>
      <c r="IHZ48" s="952"/>
      <c r="IIA48" s="952"/>
      <c r="IIB48" s="952"/>
      <c r="IIC48" s="952"/>
      <c r="IID48" s="952"/>
      <c r="IIE48" s="952"/>
      <c r="IIF48" s="952"/>
      <c r="IIG48" s="952"/>
      <c r="IIH48" s="952"/>
      <c r="III48" s="952"/>
      <c r="IIJ48" s="952"/>
      <c r="IIK48" s="952"/>
      <c r="IIL48" s="952"/>
      <c r="IIM48" s="952"/>
      <c r="IIN48" s="952"/>
      <c r="IIO48" s="952"/>
      <c r="IIP48" s="952"/>
      <c r="IIQ48" s="952"/>
      <c r="IIR48" s="952"/>
      <c r="IIS48" s="952"/>
      <c r="IIT48" s="952"/>
      <c r="IIU48" s="952"/>
      <c r="IIV48" s="952"/>
      <c r="IIW48" s="952"/>
      <c r="IIX48" s="952"/>
      <c r="IIY48" s="952"/>
      <c r="IIZ48" s="952"/>
      <c r="IJA48" s="952"/>
      <c r="IJB48" s="952"/>
      <c r="IJC48" s="952"/>
      <c r="IJD48" s="952"/>
      <c r="IJE48" s="952"/>
      <c r="IJF48" s="952"/>
      <c r="IJG48" s="952"/>
      <c r="IJH48" s="952"/>
      <c r="IJI48" s="952"/>
      <c r="IJJ48" s="952"/>
      <c r="IJK48" s="952"/>
      <c r="IJL48" s="952"/>
      <c r="IJM48" s="952"/>
      <c r="IJN48" s="952"/>
      <c r="IJO48" s="952"/>
      <c r="IJP48" s="952"/>
      <c r="IJQ48" s="952"/>
      <c r="IJR48" s="952"/>
      <c r="IJS48" s="952"/>
      <c r="IJT48" s="952"/>
      <c r="IJU48" s="952"/>
      <c r="IJV48" s="952"/>
      <c r="IJW48" s="952"/>
      <c r="IJX48" s="952"/>
      <c r="IJY48" s="952"/>
      <c r="IJZ48" s="952"/>
      <c r="IKA48" s="952"/>
      <c r="IKB48" s="952"/>
      <c r="IKC48" s="952"/>
      <c r="IKD48" s="952"/>
      <c r="IKE48" s="952"/>
      <c r="IKF48" s="952"/>
      <c r="IKG48" s="952"/>
      <c r="IKH48" s="952"/>
      <c r="IKI48" s="952"/>
      <c r="IKJ48" s="952"/>
      <c r="IKK48" s="952"/>
      <c r="IKL48" s="952"/>
      <c r="IKM48" s="952"/>
      <c r="IKN48" s="952"/>
      <c r="IKO48" s="952"/>
      <c r="IKP48" s="952"/>
      <c r="IKQ48" s="952"/>
      <c r="IKR48" s="952"/>
      <c r="IKS48" s="952"/>
      <c r="IKT48" s="952"/>
      <c r="IKU48" s="952"/>
      <c r="IKV48" s="952"/>
      <c r="IKW48" s="952"/>
      <c r="IKX48" s="952"/>
      <c r="IKY48" s="952"/>
      <c r="IKZ48" s="952"/>
      <c r="ILA48" s="952"/>
      <c r="ILB48" s="952"/>
      <c r="ILC48" s="952"/>
      <c r="ILD48" s="952"/>
      <c r="ILE48" s="952"/>
      <c r="ILF48" s="952"/>
      <c r="ILG48" s="952"/>
      <c r="ILH48" s="952"/>
      <c r="ILI48" s="952"/>
      <c r="ILJ48" s="952"/>
      <c r="ILK48" s="952"/>
      <c r="ILL48" s="952"/>
      <c r="ILM48" s="952"/>
      <c r="ILN48" s="952"/>
      <c r="ILO48" s="952"/>
      <c r="ILP48" s="952"/>
      <c r="ILQ48" s="952"/>
      <c r="ILR48" s="952"/>
      <c r="ILS48" s="952"/>
      <c r="ILT48" s="952"/>
      <c r="ILU48" s="952"/>
      <c r="ILV48" s="952"/>
      <c r="ILW48" s="952"/>
      <c r="ILX48" s="952"/>
      <c r="ILY48" s="952"/>
      <c r="ILZ48" s="952"/>
      <c r="IMA48" s="952"/>
      <c r="IMB48" s="952"/>
      <c r="IMC48" s="952"/>
      <c r="IMD48" s="952"/>
      <c r="IME48" s="952"/>
      <c r="IMF48" s="952"/>
      <c r="IMG48" s="952"/>
      <c r="IMH48" s="952"/>
      <c r="IMI48" s="952"/>
      <c r="IMJ48" s="952"/>
      <c r="IMK48" s="952"/>
      <c r="IML48" s="952"/>
      <c r="IMM48" s="952"/>
      <c r="IMN48" s="952"/>
      <c r="IMO48" s="952"/>
      <c r="IMP48" s="952"/>
      <c r="IMQ48" s="952"/>
      <c r="IMR48" s="952"/>
      <c r="IMS48" s="952"/>
      <c r="IMT48" s="952"/>
      <c r="IMU48" s="952"/>
      <c r="IMV48" s="952"/>
      <c r="IMW48" s="952"/>
      <c r="IMX48" s="952"/>
      <c r="IMY48" s="952"/>
      <c r="IMZ48" s="952"/>
      <c r="INA48" s="952"/>
      <c r="INB48" s="952"/>
      <c r="INC48" s="952"/>
      <c r="IND48" s="952"/>
      <c r="INE48" s="952"/>
      <c r="INF48" s="952"/>
      <c r="ING48" s="952"/>
      <c r="INH48" s="952"/>
      <c r="INI48" s="952"/>
      <c r="INJ48" s="952"/>
      <c r="INK48" s="952"/>
      <c r="INL48" s="952"/>
      <c r="INM48" s="952"/>
      <c r="INN48" s="952"/>
      <c r="INO48" s="952"/>
      <c r="INP48" s="952"/>
      <c r="INQ48" s="952"/>
      <c r="INR48" s="952"/>
      <c r="INS48" s="952"/>
      <c r="INT48" s="952"/>
      <c r="INU48" s="952"/>
      <c r="INV48" s="952"/>
      <c r="INW48" s="952"/>
      <c r="INX48" s="952"/>
      <c r="INY48" s="952"/>
      <c r="INZ48" s="952"/>
      <c r="IOA48" s="952"/>
      <c r="IOB48" s="952"/>
      <c r="IOC48" s="952"/>
      <c r="IOD48" s="952"/>
      <c r="IOE48" s="952"/>
      <c r="IOF48" s="952"/>
      <c r="IOG48" s="952"/>
      <c r="IOH48" s="952"/>
      <c r="IOI48" s="952"/>
      <c r="IOJ48" s="952"/>
      <c r="IOK48" s="952"/>
      <c r="IOL48" s="952"/>
      <c r="IOM48" s="952"/>
      <c r="ION48" s="952"/>
      <c r="IOO48" s="952"/>
      <c r="IOP48" s="952"/>
      <c r="IOQ48" s="952"/>
      <c r="IOR48" s="952"/>
      <c r="IOS48" s="952"/>
      <c r="IOT48" s="952"/>
      <c r="IOU48" s="952"/>
      <c r="IOV48" s="952"/>
      <c r="IOW48" s="952"/>
      <c r="IOX48" s="952"/>
      <c r="IOY48" s="952"/>
      <c r="IOZ48" s="952"/>
      <c r="IPA48" s="952"/>
      <c r="IPB48" s="952"/>
      <c r="IPC48" s="952"/>
      <c r="IPD48" s="952"/>
      <c r="IPE48" s="952"/>
      <c r="IPF48" s="952"/>
      <c r="IPG48" s="952"/>
      <c r="IPH48" s="952"/>
      <c r="IPI48" s="952"/>
      <c r="IPJ48" s="952"/>
      <c r="IPK48" s="952"/>
      <c r="IPL48" s="952"/>
      <c r="IPM48" s="952"/>
      <c r="IPN48" s="952"/>
      <c r="IPO48" s="952"/>
      <c r="IPP48" s="952"/>
      <c r="IPQ48" s="952"/>
      <c r="IPR48" s="952"/>
      <c r="IPS48" s="952"/>
      <c r="IPT48" s="952"/>
      <c r="IPU48" s="952"/>
      <c r="IPV48" s="952"/>
      <c r="IPW48" s="952"/>
      <c r="IPX48" s="952"/>
      <c r="IPY48" s="952"/>
      <c r="IPZ48" s="952"/>
      <c r="IQA48" s="952"/>
      <c r="IQB48" s="952"/>
      <c r="IQC48" s="952"/>
      <c r="IQD48" s="952"/>
      <c r="IQE48" s="952"/>
      <c r="IQF48" s="952"/>
      <c r="IQG48" s="952"/>
      <c r="IQH48" s="952"/>
      <c r="IQI48" s="952"/>
      <c r="IQJ48" s="952"/>
      <c r="IQK48" s="952"/>
      <c r="IQL48" s="952"/>
      <c r="IQM48" s="952"/>
      <c r="IQN48" s="952"/>
      <c r="IQO48" s="952"/>
      <c r="IQP48" s="952"/>
      <c r="IQQ48" s="952"/>
      <c r="IQR48" s="952"/>
      <c r="IQS48" s="952"/>
      <c r="IQT48" s="952"/>
      <c r="IQU48" s="952"/>
      <c r="IQV48" s="952"/>
      <c r="IQW48" s="952"/>
      <c r="IQX48" s="952"/>
      <c r="IQY48" s="952"/>
      <c r="IQZ48" s="952"/>
      <c r="IRA48" s="952"/>
      <c r="IRB48" s="952"/>
      <c r="IRC48" s="952"/>
      <c r="IRD48" s="952"/>
      <c r="IRE48" s="952"/>
      <c r="IRF48" s="952"/>
      <c r="IRG48" s="952"/>
      <c r="IRH48" s="952"/>
      <c r="IRI48" s="952"/>
      <c r="IRJ48" s="952"/>
      <c r="IRK48" s="952"/>
      <c r="IRL48" s="952"/>
      <c r="IRM48" s="952"/>
      <c r="IRN48" s="952"/>
      <c r="IRO48" s="952"/>
      <c r="IRP48" s="952"/>
      <c r="IRQ48" s="952"/>
      <c r="IRR48" s="952"/>
      <c r="IRS48" s="952"/>
      <c r="IRT48" s="952"/>
      <c r="IRU48" s="952"/>
      <c r="IRV48" s="952"/>
      <c r="IRW48" s="952"/>
      <c r="IRX48" s="952"/>
      <c r="IRY48" s="952"/>
      <c r="IRZ48" s="952"/>
      <c r="ISA48" s="952"/>
      <c r="ISB48" s="952"/>
      <c r="ISC48" s="952"/>
      <c r="ISD48" s="952"/>
      <c r="ISE48" s="952"/>
      <c r="ISF48" s="952"/>
      <c r="ISG48" s="952"/>
      <c r="ISH48" s="952"/>
      <c r="ISI48" s="952"/>
      <c r="ISJ48" s="952"/>
      <c r="ISK48" s="952"/>
      <c r="ISL48" s="952"/>
      <c r="ISM48" s="952"/>
      <c r="ISN48" s="952"/>
      <c r="ISO48" s="952"/>
      <c r="ISP48" s="952"/>
      <c r="ISQ48" s="952"/>
      <c r="ISR48" s="952"/>
      <c r="ISS48" s="952"/>
      <c r="IST48" s="952"/>
      <c r="ISU48" s="952"/>
      <c r="ISV48" s="952"/>
      <c r="ISW48" s="952"/>
      <c r="ISX48" s="952"/>
      <c r="ISY48" s="952"/>
      <c r="ISZ48" s="952"/>
      <c r="ITA48" s="952"/>
      <c r="ITB48" s="952"/>
      <c r="ITC48" s="952"/>
      <c r="ITD48" s="952"/>
      <c r="ITE48" s="952"/>
      <c r="ITF48" s="952"/>
      <c r="ITG48" s="952"/>
      <c r="ITH48" s="952"/>
      <c r="ITI48" s="952"/>
      <c r="ITJ48" s="952"/>
      <c r="ITK48" s="952"/>
      <c r="ITL48" s="952"/>
      <c r="ITM48" s="952"/>
      <c r="ITN48" s="952"/>
      <c r="ITO48" s="952"/>
      <c r="ITP48" s="952"/>
      <c r="ITQ48" s="952"/>
      <c r="ITR48" s="952"/>
      <c r="ITS48" s="952"/>
      <c r="ITT48" s="952"/>
      <c r="ITU48" s="952"/>
      <c r="ITV48" s="952"/>
      <c r="ITW48" s="952"/>
      <c r="ITX48" s="952"/>
      <c r="ITY48" s="952"/>
      <c r="ITZ48" s="952"/>
      <c r="IUA48" s="952"/>
      <c r="IUB48" s="952"/>
      <c r="IUC48" s="952"/>
      <c r="IUD48" s="952"/>
      <c r="IUE48" s="952"/>
      <c r="IUF48" s="952"/>
      <c r="IUG48" s="952"/>
      <c r="IUH48" s="952"/>
      <c r="IUI48" s="952"/>
      <c r="IUJ48" s="952"/>
      <c r="IUK48" s="952"/>
      <c r="IUL48" s="952"/>
      <c r="IUM48" s="952"/>
      <c r="IUN48" s="952"/>
      <c r="IUO48" s="952"/>
      <c r="IUP48" s="952"/>
      <c r="IUQ48" s="952"/>
      <c r="IUR48" s="952"/>
      <c r="IUS48" s="952"/>
      <c r="IUT48" s="952"/>
      <c r="IUU48" s="952"/>
      <c r="IUV48" s="952"/>
      <c r="IUW48" s="952"/>
      <c r="IUX48" s="952"/>
      <c r="IUY48" s="952"/>
      <c r="IUZ48" s="952"/>
      <c r="IVA48" s="952"/>
      <c r="IVB48" s="952"/>
      <c r="IVC48" s="952"/>
      <c r="IVD48" s="952"/>
      <c r="IVE48" s="952"/>
      <c r="IVF48" s="952"/>
      <c r="IVG48" s="952"/>
      <c r="IVH48" s="952"/>
      <c r="IVI48" s="952"/>
      <c r="IVJ48" s="952"/>
      <c r="IVK48" s="952"/>
      <c r="IVL48" s="952"/>
      <c r="IVM48" s="952"/>
      <c r="IVN48" s="952"/>
      <c r="IVO48" s="952"/>
      <c r="IVP48" s="952"/>
      <c r="IVQ48" s="952"/>
      <c r="IVR48" s="952"/>
      <c r="IVS48" s="952"/>
      <c r="IVT48" s="952"/>
      <c r="IVU48" s="952"/>
      <c r="IVV48" s="952"/>
      <c r="IVW48" s="952"/>
      <c r="IVX48" s="952"/>
      <c r="IVY48" s="952"/>
      <c r="IVZ48" s="952"/>
      <c r="IWA48" s="952"/>
      <c r="IWB48" s="952"/>
      <c r="IWC48" s="952"/>
      <c r="IWD48" s="952"/>
      <c r="IWE48" s="952"/>
      <c r="IWF48" s="952"/>
      <c r="IWG48" s="952"/>
      <c r="IWH48" s="952"/>
      <c r="IWI48" s="952"/>
      <c r="IWJ48" s="952"/>
      <c r="IWK48" s="952"/>
      <c r="IWL48" s="952"/>
      <c r="IWM48" s="952"/>
      <c r="IWN48" s="952"/>
      <c r="IWO48" s="952"/>
      <c r="IWP48" s="952"/>
      <c r="IWQ48" s="952"/>
      <c r="IWR48" s="952"/>
      <c r="IWS48" s="952"/>
      <c r="IWT48" s="952"/>
      <c r="IWU48" s="952"/>
      <c r="IWV48" s="952"/>
      <c r="IWW48" s="952"/>
      <c r="IWX48" s="952"/>
      <c r="IWY48" s="952"/>
      <c r="IWZ48" s="952"/>
      <c r="IXA48" s="952"/>
      <c r="IXB48" s="952"/>
      <c r="IXC48" s="952"/>
      <c r="IXD48" s="952"/>
      <c r="IXE48" s="952"/>
      <c r="IXF48" s="952"/>
      <c r="IXG48" s="952"/>
      <c r="IXH48" s="952"/>
      <c r="IXI48" s="952"/>
      <c r="IXJ48" s="952"/>
      <c r="IXK48" s="952"/>
      <c r="IXL48" s="952"/>
      <c r="IXM48" s="952"/>
      <c r="IXN48" s="952"/>
      <c r="IXO48" s="952"/>
      <c r="IXP48" s="952"/>
      <c r="IXQ48" s="952"/>
      <c r="IXR48" s="952"/>
      <c r="IXS48" s="952"/>
      <c r="IXT48" s="952"/>
      <c r="IXU48" s="952"/>
      <c r="IXV48" s="952"/>
      <c r="IXW48" s="952"/>
      <c r="IXX48" s="952"/>
      <c r="IXY48" s="952"/>
      <c r="IXZ48" s="952"/>
      <c r="IYA48" s="952"/>
      <c r="IYB48" s="952"/>
      <c r="IYC48" s="952"/>
      <c r="IYD48" s="952"/>
      <c r="IYE48" s="952"/>
      <c r="IYF48" s="952"/>
      <c r="IYG48" s="952"/>
      <c r="IYH48" s="952"/>
      <c r="IYI48" s="952"/>
      <c r="IYJ48" s="952"/>
      <c r="IYK48" s="952"/>
      <c r="IYL48" s="952"/>
      <c r="IYM48" s="952"/>
      <c r="IYN48" s="952"/>
      <c r="IYO48" s="952"/>
      <c r="IYP48" s="952"/>
      <c r="IYQ48" s="952"/>
      <c r="IYR48" s="952"/>
      <c r="IYS48" s="952"/>
      <c r="IYT48" s="952"/>
      <c r="IYU48" s="952"/>
      <c r="IYV48" s="952"/>
      <c r="IYW48" s="952"/>
      <c r="IYX48" s="952"/>
      <c r="IYY48" s="952"/>
      <c r="IYZ48" s="952"/>
      <c r="IZA48" s="952"/>
      <c r="IZB48" s="952"/>
      <c r="IZC48" s="952"/>
      <c r="IZD48" s="952"/>
      <c r="IZE48" s="952"/>
      <c r="IZF48" s="952"/>
      <c r="IZG48" s="952"/>
      <c r="IZH48" s="952"/>
      <c r="IZI48" s="952"/>
      <c r="IZJ48" s="952"/>
      <c r="IZK48" s="952"/>
      <c r="IZL48" s="952"/>
      <c r="IZM48" s="952"/>
      <c r="IZN48" s="952"/>
      <c r="IZO48" s="952"/>
      <c r="IZP48" s="952"/>
      <c r="IZQ48" s="952"/>
      <c r="IZR48" s="952"/>
      <c r="IZS48" s="952"/>
      <c r="IZT48" s="952"/>
      <c r="IZU48" s="952"/>
      <c r="IZV48" s="952"/>
      <c r="IZW48" s="952"/>
      <c r="IZX48" s="952"/>
      <c r="IZY48" s="952"/>
      <c r="IZZ48" s="952"/>
      <c r="JAA48" s="952"/>
      <c r="JAB48" s="952"/>
      <c r="JAC48" s="952"/>
      <c r="JAD48" s="952"/>
      <c r="JAE48" s="952"/>
      <c r="JAF48" s="952"/>
      <c r="JAG48" s="952"/>
      <c r="JAH48" s="952"/>
      <c r="JAI48" s="952"/>
      <c r="JAJ48" s="952"/>
      <c r="JAK48" s="952"/>
      <c r="JAL48" s="952"/>
      <c r="JAM48" s="952"/>
      <c r="JAN48" s="952"/>
      <c r="JAO48" s="952"/>
      <c r="JAP48" s="952"/>
      <c r="JAQ48" s="952"/>
      <c r="JAR48" s="952"/>
      <c r="JAS48" s="952"/>
      <c r="JAT48" s="952"/>
      <c r="JAU48" s="952"/>
      <c r="JAV48" s="952"/>
      <c r="JAW48" s="952"/>
      <c r="JAX48" s="952"/>
      <c r="JAY48" s="952"/>
      <c r="JAZ48" s="952"/>
      <c r="JBA48" s="952"/>
      <c r="JBB48" s="952"/>
      <c r="JBC48" s="952"/>
      <c r="JBD48" s="952"/>
      <c r="JBE48" s="952"/>
      <c r="JBF48" s="952"/>
      <c r="JBG48" s="952"/>
      <c r="JBH48" s="952"/>
      <c r="JBI48" s="952"/>
      <c r="JBJ48" s="952"/>
      <c r="JBK48" s="952"/>
      <c r="JBL48" s="952"/>
      <c r="JBM48" s="952"/>
      <c r="JBN48" s="952"/>
      <c r="JBO48" s="952"/>
      <c r="JBP48" s="952"/>
      <c r="JBQ48" s="952"/>
      <c r="JBR48" s="952"/>
      <c r="JBS48" s="952"/>
      <c r="JBT48" s="952"/>
      <c r="JBU48" s="952"/>
      <c r="JBV48" s="952"/>
      <c r="JBW48" s="952"/>
      <c r="JBX48" s="952"/>
      <c r="JBY48" s="952"/>
      <c r="JBZ48" s="952"/>
      <c r="JCA48" s="952"/>
      <c r="JCB48" s="952"/>
      <c r="JCC48" s="952"/>
      <c r="JCD48" s="952"/>
      <c r="JCE48" s="952"/>
      <c r="JCF48" s="952"/>
      <c r="JCG48" s="952"/>
      <c r="JCH48" s="952"/>
      <c r="JCI48" s="952"/>
      <c r="JCJ48" s="952"/>
      <c r="JCK48" s="952"/>
      <c r="JCL48" s="952"/>
      <c r="JCM48" s="952"/>
      <c r="JCN48" s="952"/>
      <c r="JCO48" s="952"/>
      <c r="JCP48" s="952"/>
      <c r="JCQ48" s="952"/>
      <c r="JCR48" s="952"/>
      <c r="JCS48" s="952"/>
      <c r="JCT48" s="952"/>
      <c r="JCU48" s="952"/>
      <c r="JCV48" s="952"/>
      <c r="JCW48" s="952"/>
      <c r="JCX48" s="952"/>
      <c r="JCY48" s="952"/>
      <c r="JCZ48" s="952"/>
      <c r="JDA48" s="952"/>
      <c r="JDB48" s="952"/>
      <c r="JDC48" s="952"/>
      <c r="JDD48" s="952"/>
      <c r="JDE48" s="952"/>
      <c r="JDF48" s="952"/>
      <c r="JDG48" s="952"/>
      <c r="JDH48" s="952"/>
      <c r="JDI48" s="952"/>
      <c r="JDJ48" s="952"/>
      <c r="JDK48" s="952"/>
      <c r="JDL48" s="952"/>
      <c r="JDM48" s="952"/>
      <c r="JDN48" s="952"/>
      <c r="JDO48" s="952"/>
      <c r="JDP48" s="952"/>
      <c r="JDQ48" s="952"/>
      <c r="JDR48" s="952"/>
      <c r="JDS48" s="952"/>
      <c r="JDT48" s="952"/>
      <c r="JDU48" s="952"/>
      <c r="JDV48" s="952"/>
      <c r="JDW48" s="952"/>
      <c r="JDX48" s="952"/>
      <c r="JDY48" s="952"/>
      <c r="JDZ48" s="952"/>
      <c r="JEA48" s="952"/>
      <c r="JEB48" s="952"/>
      <c r="JEC48" s="952"/>
      <c r="JED48" s="952"/>
      <c r="JEE48" s="952"/>
      <c r="JEF48" s="952"/>
      <c r="JEG48" s="952"/>
      <c r="JEH48" s="952"/>
      <c r="JEI48" s="952"/>
      <c r="JEJ48" s="952"/>
      <c r="JEK48" s="952"/>
      <c r="JEL48" s="952"/>
      <c r="JEM48" s="952"/>
      <c r="JEN48" s="952"/>
      <c r="JEO48" s="952"/>
      <c r="JEP48" s="952"/>
      <c r="JEQ48" s="952"/>
      <c r="JER48" s="952"/>
      <c r="JES48" s="952"/>
      <c r="JET48" s="952"/>
      <c r="JEU48" s="952"/>
      <c r="JEV48" s="952"/>
      <c r="JEW48" s="952"/>
      <c r="JEX48" s="952"/>
      <c r="JEY48" s="952"/>
      <c r="JEZ48" s="952"/>
      <c r="JFA48" s="952"/>
      <c r="JFB48" s="952"/>
      <c r="JFC48" s="952"/>
      <c r="JFD48" s="952"/>
      <c r="JFE48" s="952"/>
      <c r="JFF48" s="952"/>
      <c r="JFG48" s="952"/>
      <c r="JFH48" s="952"/>
      <c r="JFI48" s="952"/>
      <c r="JFJ48" s="952"/>
      <c r="JFK48" s="952"/>
      <c r="JFL48" s="952"/>
      <c r="JFM48" s="952"/>
      <c r="JFN48" s="952"/>
      <c r="JFO48" s="952"/>
      <c r="JFP48" s="952"/>
      <c r="JFQ48" s="952"/>
      <c r="JFR48" s="952"/>
      <c r="JFS48" s="952"/>
      <c r="JFT48" s="952"/>
      <c r="JFU48" s="952"/>
      <c r="JFV48" s="952"/>
      <c r="JFW48" s="952"/>
      <c r="JFX48" s="952"/>
      <c r="JFY48" s="952"/>
      <c r="JFZ48" s="952"/>
      <c r="JGA48" s="952"/>
      <c r="JGB48" s="952"/>
      <c r="JGC48" s="952"/>
      <c r="JGD48" s="952"/>
      <c r="JGE48" s="952"/>
      <c r="JGF48" s="952"/>
      <c r="JGG48" s="952"/>
      <c r="JGH48" s="952"/>
      <c r="JGI48" s="952"/>
      <c r="JGJ48" s="952"/>
      <c r="JGK48" s="952"/>
      <c r="JGL48" s="952"/>
      <c r="JGM48" s="952"/>
      <c r="JGN48" s="952"/>
      <c r="JGO48" s="952"/>
      <c r="JGP48" s="952"/>
      <c r="JGQ48" s="952"/>
      <c r="JGR48" s="952"/>
      <c r="JGS48" s="952"/>
      <c r="JGT48" s="952"/>
      <c r="JGU48" s="952"/>
      <c r="JGV48" s="952"/>
      <c r="JGW48" s="952"/>
      <c r="JGX48" s="952"/>
      <c r="JGY48" s="952"/>
      <c r="JGZ48" s="952"/>
      <c r="JHA48" s="952"/>
      <c r="JHB48" s="952"/>
      <c r="JHC48" s="952"/>
      <c r="JHD48" s="952"/>
      <c r="JHE48" s="952"/>
      <c r="JHF48" s="952"/>
      <c r="JHG48" s="952"/>
      <c r="JHH48" s="952"/>
      <c r="JHI48" s="952"/>
      <c r="JHJ48" s="952"/>
      <c r="JHK48" s="952"/>
      <c r="JHL48" s="952"/>
      <c r="JHM48" s="952"/>
      <c r="JHN48" s="952"/>
      <c r="JHO48" s="952"/>
      <c r="JHP48" s="952"/>
      <c r="JHQ48" s="952"/>
      <c r="JHR48" s="952"/>
      <c r="JHS48" s="952"/>
      <c r="JHT48" s="952"/>
      <c r="JHU48" s="952"/>
      <c r="JHV48" s="952"/>
      <c r="JHW48" s="952"/>
      <c r="JHX48" s="952"/>
      <c r="JHY48" s="952"/>
      <c r="JHZ48" s="952"/>
      <c r="JIA48" s="952"/>
      <c r="JIB48" s="952"/>
      <c r="JIC48" s="952"/>
      <c r="JID48" s="952"/>
      <c r="JIE48" s="952"/>
      <c r="JIF48" s="952"/>
      <c r="JIG48" s="952"/>
      <c r="JIH48" s="952"/>
      <c r="JII48" s="952"/>
      <c r="JIJ48" s="952"/>
      <c r="JIK48" s="952"/>
      <c r="JIL48" s="952"/>
      <c r="JIM48" s="952"/>
      <c r="JIN48" s="952"/>
      <c r="JIO48" s="952"/>
      <c r="JIP48" s="952"/>
      <c r="JIQ48" s="952"/>
      <c r="JIR48" s="952"/>
      <c r="JIS48" s="952"/>
      <c r="JIT48" s="952"/>
      <c r="JIU48" s="952"/>
      <c r="JIV48" s="952"/>
      <c r="JIW48" s="952"/>
      <c r="JIX48" s="952"/>
      <c r="JIY48" s="952"/>
      <c r="JIZ48" s="952"/>
      <c r="JJA48" s="952"/>
      <c r="JJB48" s="952"/>
      <c r="JJC48" s="952"/>
      <c r="JJD48" s="952"/>
      <c r="JJE48" s="952"/>
      <c r="JJF48" s="952"/>
      <c r="JJG48" s="952"/>
      <c r="JJH48" s="952"/>
      <c r="JJI48" s="952"/>
      <c r="JJJ48" s="952"/>
      <c r="JJK48" s="952"/>
      <c r="JJL48" s="952"/>
      <c r="JJM48" s="952"/>
      <c r="JJN48" s="952"/>
      <c r="JJO48" s="952"/>
      <c r="JJP48" s="952"/>
      <c r="JJQ48" s="952"/>
      <c r="JJR48" s="952"/>
      <c r="JJS48" s="952"/>
      <c r="JJT48" s="952"/>
      <c r="JJU48" s="952"/>
      <c r="JJV48" s="952"/>
      <c r="JJW48" s="952"/>
      <c r="JJX48" s="952"/>
      <c r="JJY48" s="952"/>
      <c r="JJZ48" s="952"/>
      <c r="JKA48" s="952"/>
      <c r="JKB48" s="952"/>
      <c r="JKC48" s="952"/>
      <c r="JKD48" s="952"/>
      <c r="JKE48" s="952"/>
      <c r="JKF48" s="952"/>
      <c r="JKG48" s="952"/>
      <c r="JKH48" s="952"/>
      <c r="JKI48" s="952"/>
      <c r="JKJ48" s="952"/>
      <c r="JKK48" s="952"/>
      <c r="JKL48" s="952"/>
      <c r="JKM48" s="952"/>
      <c r="JKN48" s="952"/>
      <c r="JKO48" s="952"/>
      <c r="JKP48" s="952"/>
      <c r="JKQ48" s="952"/>
      <c r="JKR48" s="952"/>
      <c r="JKS48" s="952"/>
      <c r="JKT48" s="952"/>
      <c r="JKU48" s="952"/>
      <c r="JKV48" s="952"/>
      <c r="JKW48" s="952"/>
      <c r="JKX48" s="952"/>
      <c r="JKY48" s="952"/>
      <c r="JKZ48" s="952"/>
      <c r="JLA48" s="952"/>
      <c r="JLB48" s="952"/>
      <c r="JLC48" s="952"/>
      <c r="JLD48" s="952"/>
      <c r="JLE48" s="952"/>
      <c r="JLF48" s="952"/>
      <c r="JLG48" s="952"/>
      <c r="JLH48" s="952"/>
      <c r="JLI48" s="952"/>
      <c r="JLJ48" s="952"/>
      <c r="JLK48" s="952"/>
      <c r="JLL48" s="952"/>
      <c r="JLM48" s="952"/>
      <c r="JLN48" s="952"/>
      <c r="JLO48" s="952"/>
      <c r="JLP48" s="952"/>
      <c r="JLQ48" s="952"/>
      <c r="JLR48" s="952"/>
      <c r="JLS48" s="952"/>
      <c r="JLT48" s="952"/>
      <c r="JLU48" s="952"/>
      <c r="JLV48" s="952"/>
      <c r="JLW48" s="952"/>
      <c r="JLX48" s="952"/>
      <c r="JLY48" s="952"/>
      <c r="JLZ48" s="952"/>
      <c r="JMA48" s="952"/>
      <c r="JMB48" s="952"/>
      <c r="JMC48" s="952"/>
      <c r="JMD48" s="952"/>
      <c r="JME48" s="952"/>
      <c r="JMF48" s="952"/>
      <c r="JMG48" s="952"/>
      <c r="JMH48" s="952"/>
      <c r="JMI48" s="952"/>
      <c r="JMJ48" s="952"/>
      <c r="JMK48" s="952"/>
      <c r="JML48" s="952"/>
      <c r="JMM48" s="952"/>
      <c r="JMN48" s="952"/>
      <c r="JMO48" s="952"/>
      <c r="JMP48" s="952"/>
      <c r="JMQ48" s="952"/>
      <c r="JMR48" s="952"/>
      <c r="JMS48" s="952"/>
      <c r="JMT48" s="952"/>
      <c r="JMU48" s="952"/>
      <c r="JMV48" s="952"/>
      <c r="JMW48" s="952"/>
      <c r="JMX48" s="952"/>
      <c r="JMY48" s="952"/>
      <c r="JMZ48" s="952"/>
      <c r="JNA48" s="952"/>
      <c r="JNB48" s="952"/>
      <c r="JNC48" s="952"/>
      <c r="JND48" s="952"/>
      <c r="JNE48" s="952"/>
      <c r="JNF48" s="952"/>
      <c r="JNG48" s="952"/>
      <c r="JNH48" s="952"/>
      <c r="JNI48" s="952"/>
      <c r="JNJ48" s="952"/>
      <c r="JNK48" s="952"/>
      <c r="JNL48" s="952"/>
      <c r="JNM48" s="952"/>
      <c r="JNN48" s="952"/>
      <c r="JNO48" s="952"/>
      <c r="JNP48" s="952"/>
      <c r="JNQ48" s="952"/>
      <c r="JNR48" s="952"/>
      <c r="JNS48" s="952"/>
      <c r="JNT48" s="952"/>
      <c r="JNU48" s="952"/>
      <c r="JNV48" s="952"/>
      <c r="JNW48" s="952"/>
      <c r="JNX48" s="952"/>
      <c r="JNY48" s="952"/>
      <c r="JNZ48" s="952"/>
      <c r="JOA48" s="952"/>
      <c r="JOB48" s="952"/>
      <c r="JOC48" s="952"/>
      <c r="JOD48" s="952"/>
      <c r="JOE48" s="952"/>
      <c r="JOF48" s="952"/>
      <c r="JOG48" s="952"/>
      <c r="JOH48" s="952"/>
      <c r="JOI48" s="952"/>
      <c r="JOJ48" s="952"/>
      <c r="JOK48" s="952"/>
      <c r="JOL48" s="952"/>
      <c r="JOM48" s="952"/>
      <c r="JON48" s="952"/>
      <c r="JOO48" s="952"/>
      <c r="JOP48" s="952"/>
      <c r="JOQ48" s="952"/>
      <c r="JOR48" s="952"/>
      <c r="JOS48" s="952"/>
      <c r="JOT48" s="952"/>
      <c r="JOU48" s="952"/>
      <c r="JOV48" s="952"/>
      <c r="JOW48" s="952"/>
      <c r="JOX48" s="952"/>
      <c r="JOY48" s="952"/>
      <c r="JOZ48" s="952"/>
      <c r="JPA48" s="952"/>
      <c r="JPB48" s="952"/>
      <c r="JPC48" s="952"/>
      <c r="JPD48" s="952"/>
      <c r="JPE48" s="952"/>
      <c r="JPF48" s="952"/>
      <c r="JPG48" s="952"/>
      <c r="JPH48" s="952"/>
      <c r="JPI48" s="952"/>
      <c r="JPJ48" s="952"/>
      <c r="JPK48" s="952"/>
      <c r="JPL48" s="952"/>
      <c r="JPM48" s="952"/>
      <c r="JPN48" s="952"/>
      <c r="JPO48" s="952"/>
      <c r="JPP48" s="952"/>
      <c r="JPQ48" s="952"/>
      <c r="JPR48" s="952"/>
      <c r="JPS48" s="952"/>
      <c r="JPT48" s="952"/>
      <c r="JPU48" s="952"/>
      <c r="JPV48" s="952"/>
      <c r="JPW48" s="952"/>
      <c r="JPX48" s="952"/>
      <c r="JPY48" s="952"/>
      <c r="JPZ48" s="952"/>
      <c r="JQA48" s="952"/>
      <c r="JQB48" s="952"/>
      <c r="JQC48" s="952"/>
      <c r="JQD48" s="952"/>
      <c r="JQE48" s="952"/>
      <c r="JQF48" s="952"/>
      <c r="JQG48" s="952"/>
      <c r="JQH48" s="952"/>
      <c r="JQI48" s="952"/>
      <c r="JQJ48" s="952"/>
      <c r="JQK48" s="952"/>
      <c r="JQL48" s="952"/>
      <c r="JQM48" s="952"/>
      <c r="JQN48" s="952"/>
      <c r="JQO48" s="952"/>
      <c r="JQP48" s="952"/>
      <c r="JQQ48" s="952"/>
      <c r="JQR48" s="952"/>
      <c r="JQS48" s="952"/>
      <c r="JQT48" s="952"/>
      <c r="JQU48" s="952"/>
      <c r="JQV48" s="952"/>
      <c r="JQW48" s="952"/>
      <c r="JQX48" s="952"/>
      <c r="JQY48" s="952"/>
      <c r="JQZ48" s="952"/>
      <c r="JRA48" s="952"/>
      <c r="JRB48" s="952"/>
      <c r="JRC48" s="952"/>
      <c r="JRD48" s="952"/>
      <c r="JRE48" s="952"/>
      <c r="JRF48" s="952"/>
      <c r="JRG48" s="952"/>
      <c r="JRH48" s="952"/>
      <c r="JRI48" s="952"/>
      <c r="JRJ48" s="952"/>
      <c r="JRK48" s="952"/>
      <c r="JRL48" s="952"/>
      <c r="JRM48" s="952"/>
      <c r="JRN48" s="952"/>
      <c r="JRO48" s="952"/>
      <c r="JRP48" s="952"/>
      <c r="JRQ48" s="952"/>
      <c r="JRR48" s="952"/>
      <c r="JRS48" s="952"/>
      <c r="JRT48" s="952"/>
      <c r="JRU48" s="952"/>
      <c r="JRV48" s="952"/>
      <c r="JRW48" s="952"/>
      <c r="JRX48" s="952"/>
      <c r="JRY48" s="952"/>
      <c r="JRZ48" s="952"/>
      <c r="JSA48" s="952"/>
      <c r="JSB48" s="952"/>
      <c r="JSC48" s="952"/>
      <c r="JSD48" s="952"/>
      <c r="JSE48" s="952"/>
      <c r="JSF48" s="952"/>
      <c r="JSG48" s="952"/>
      <c r="JSH48" s="952"/>
      <c r="JSI48" s="952"/>
      <c r="JSJ48" s="952"/>
      <c r="JSK48" s="952"/>
      <c r="JSL48" s="952"/>
      <c r="JSM48" s="952"/>
      <c r="JSN48" s="952"/>
      <c r="JSO48" s="952"/>
      <c r="JSP48" s="952"/>
      <c r="JSQ48" s="952"/>
      <c r="JSR48" s="952"/>
      <c r="JSS48" s="952"/>
      <c r="JST48" s="952"/>
      <c r="JSU48" s="952"/>
      <c r="JSV48" s="952"/>
      <c r="JSW48" s="952"/>
      <c r="JSX48" s="952"/>
      <c r="JSY48" s="952"/>
      <c r="JSZ48" s="952"/>
      <c r="JTA48" s="952"/>
      <c r="JTB48" s="952"/>
      <c r="JTC48" s="952"/>
      <c r="JTD48" s="952"/>
      <c r="JTE48" s="952"/>
      <c r="JTF48" s="952"/>
      <c r="JTG48" s="952"/>
      <c r="JTH48" s="952"/>
      <c r="JTI48" s="952"/>
      <c r="JTJ48" s="952"/>
      <c r="JTK48" s="952"/>
      <c r="JTL48" s="952"/>
      <c r="JTM48" s="952"/>
      <c r="JTN48" s="952"/>
      <c r="JTO48" s="952"/>
      <c r="JTP48" s="952"/>
      <c r="JTQ48" s="952"/>
      <c r="JTR48" s="952"/>
      <c r="JTS48" s="952"/>
      <c r="JTT48" s="952"/>
      <c r="JTU48" s="952"/>
      <c r="JTV48" s="952"/>
      <c r="JTW48" s="952"/>
      <c r="JTX48" s="952"/>
      <c r="JTY48" s="952"/>
      <c r="JTZ48" s="952"/>
      <c r="JUA48" s="952"/>
      <c r="JUB48" s="952"/>
      <c r="JUC48" s="952"/>
      <c r="JUD48" s="952"/>
      <c r="JUE48" s="952"/>
      <c r="JUF48" s="952"/>
      <c r="JUG48" s="952"/>
      <c r="JUH48" s="952"/>
      <c r="JUI48" s="952"/>
      <c r="JUJ48" s="952"/>
      <c r="JUK48" s="952"/>
      <c r="JUL48" s="952"/>
      <c r="JUM48" s="952"/>
      <c r="JUN48" s="952"/>
      <c r="JUO48" s="952"/>
      <c r="JUP48" s="952"/>
      <c r="JUQ48" s="952"/>
      <c r="JUR48" s="952"/>
      <c r="JUS48" s="952"/>
      <c r="JUT48" s="952"/>
      <c r="JUU48" s="952"/>
      <c r="JUV48" s="952"/>
      <c r="JUW48" s="952"/>
      <c r="JUX48" s="952"/>
      <c r="JUY48" s="952"/>
      <c r="JUZ48" s="952"/>
      <c r="JVA48" s="952"/>
      <c r="JVB48" s="952"/>
      <c r="JVC48" s="952"/>
      <c r="JVD48" s="952"/>
      <c r="JVE48" s="952"/>
      <c r="JVF48" s="952"/>
      <c r="JVG48" s="952"/>
      <c r="JVH48" s="952"/>
      <c r="JVI48" s="952"/>
      <c r="JVJ48" s="952"/>
      <c r="JVK48" s="952"/>
      <c r="JVL48" s="952"/>
      <c r="JVM48" s="952"/>
      <c r="JVN48" s="952"/>
      <c r="JVO48" s="952"/>
      <c r="JVP48" s="952"/>
      <c r="JVQ48" s="952"/>
      <c r="JVR48" s="952"/>
      <c r="JVS48" s="952"/>
      <c r="JVT48" s="952"/>
      <c r="JVU48" s="952"/>
      <c r="JVV48" s="952"/>
      <c r="JVW48" s="952"/>
      <c r="JVX48" s="952"/>
      <c r="JVY48" s="952"/>
      <c r="JVZ48" s="952"/>
      <c r="JWA48" s="952"/>
      <c r="JWB48" s="952"/>
      <c r="JWC48" s="952"/>
      <c r="JWD48" s="952"/>
      <c r="JWE48" s="952"/>
      <c r="JWF48" s="952"/>
      <c r="JWG48" s="952"/>
      <c r="JWH48" s="952"/>
      <c r="JWI48" s="952"/>
      <c r="JWJ48" s="952"/>
      <c r="JWK48" s="952"/>
      <c r="JWL48" s="952"/>
      <c r="JWM48" s="952"/>
      <c r="JWN48" s="952"/>
      <c r="JWO48" s="952"/>
      <c r="JWP48" s="952"/>
      <c r="JWQ48" s="952"/>
      <c r="JWR48" s="952"/>
      <c r="JWS48" s="952"/>
      <c r="JWT48" s="952"/>
      <c r="JWU48" s="952"/>
      <c r="JWV48" s="952"/>
      <c r="JWW48" s="952"/>
      <c r="JWX48" s="952"/>
      <c r="JWY48" s="952"/>
      <c r="JWZ48" s="952"/>
      <c r="JXA48" s="952"/>
      <c r="JXB48" s="952"/>
      <c r="JXC48" s="952"/>
      <c r="JXD48" s="952"/>
      <c r="JXE48" s="952"/>
      <c r="JXF48" s="952"/>
      <c r="JXG48" s="952"/>
      <c r="JXH48" s="952"/>
      <c r="JXI48" s="952"/>
      <c r="JXJ48" s="952"/>
      <c r="JXK48" s="952"/>
      <c r="JXL48" s="952"/>
      <c r="JXM48" s="952"/>
      <c r="JXN48" s="952"/>
      <c r="JXO48" s="952"/>
      <c r="JXP48" s="952"/>
      <c r="JXQ48" s="952"/>
      <c r="JXR48" s="952"/>
      <c r="JXS48" s="952"/>
      <c r="JXT48" s="952"/>
      <c r="JXU48" s="952"/>
      <c r="JXV48" s="952"/>
      <c r="JXW48" s="952"/>
      <c r="JXX48" s="952"/>
      <c r="JXY48" s="952"/>
      <c r="JXZ48" s="952"/>
      <c r="JYA48" s="952"/>
      <c r="JYB48" s="952"/>
      <c r="JYC48" s="952"/>
      <c r="JYD48" s="952"/>
      <c r="JYE48" s="952"/>
      <c r="JYF48" s="952"/>
      <c r="JYG48" s="952"/>
      <c r="JYH48" s="952"/>
      <c r="JYI48" s="952"/>
      <c r="JYJ48" s="952"/>
      <c r="JYK48" s="952"/>
      <c r="JYL48" s="952"/>
      <c r="JYM48" s="952"/>
      <c r="JYN48" s="952"/>
      <c r="JYO48" s="952"/>
      <c r="JYP48" s="952"/>
      <c r="JYQ48" s="952"/>
      <c r="JYR48" s="952"/>
      <c r="JYS48" s="952"/>
      <c r="JYT48" s="952"/>
      <c r="JYU48" s="952"/>
      <c r="JYV48" s="952"/>
      <c r="JYW48" s="952"/>
      <c r="JYX48" s="952"/>
      <c r="JYY48" s="952"/>
      <c r="JYZ48" s="952"/>
      <c r="JZA48" s="952"/>
      <c r="JZB48" s="952"/>
      <c r="JZC48" s="952"/>
      <c r="JZD48" s="952"/>
      <c r="JZE48" s="952"/>
      <c r="JZF48" s="952"/>
      <c r="JZG48" s="952"/>
      <c r="JZH48" s="952"/>
      <c r="JZI48" s="952"/>
      <c r="JZJ48" s="952"/>
      <c r="JZK48" s="952"/>
      <c r="JZL48" s="952"/>
      <c r="JZM48" s="952"/>
      <c r="JZN48" s="952"/>
      <c r="JZO48" s="952"/>
      <c r="JZP48" s="952"/>
      <c r="JZQ48" s="952"/>
      <c r="JZR48" s="952"/>
      <c r="JZS48" s="952"/>
      <c r="JZT48" s="952"/>
      <c r="JZU48" s="952"/>
      <c r="JZV48" s="952"/>
      <c r="JZW48" s="952"/>
      <c r="JZX48" s="952"/>
      <c r="JZY48" s="952"/>
      <c r="JZZ48" s="952"/>
      <c r="KAA48" s="952"/>
      <c r="KAB48" s="952"/>
      <c r="KAC48" s="952"/>
      <c r="KAD48" s="952"/>
      <c r="KAE48" s="952"/>
      <c r="KAF48" s="952"/>
      <c r="KAG48" s="952"/>
      <c r="KAH48" s="952"/>
      <c r="KAI48" s="952"/>
      <c r="KAJ48" s="952"/>
      <c r="KAK48" s="952"/>
      <c r="KAL48" s="952"/>
      <c r="KAM48" s="952"/>
      <c r="KAN48" s="952"/>
      <c r="KAO48" s="952"/>
      <c r="KAP48" s="952"/>
      <c r="KAQ48" s="952"/>
      <c r="KAR48" s="952"/>
      <c r="KAS48" s="952"/>
      <c r="KAT48" s="952"/>
      <c r="KAU48" s="952"/>
      <c r="KAV48" s="952"/>
      <c r="KAW48" s="952"/>
      <c r="KAX48" s="952"/>
      <c r="KAY48" s="952"/>
      <c r="KAZ48" s="952"/>
      <c r="KBA48" s="952"/>
      <c r="KBB48" s="952"/>
      <c r="KBC48" s="952"/>
      <c r="KBD48" s="952"/>
      <c r="KBE48" s="952"/>
      <c r="KBF48" s="952"/>
      <c r="KBG48" s="952"/>
      <c r="KBH48" s="952"/>
      <c r="KBI48" s="952"/>
      <c r="KBJ48" s="952"/>
      <c r="KBK48" s="952"/>
      <c r="KBL48" s="952"/>
      <c r="KBM48" s="952"/>
      <c r="KBN48" s="952"/>
      <c r="KBO48" s="952"/>
      <c r="KBP48" s="952"/>
      <c r="KBQ48" s="952"/>
      <c r="KBR48" s="952"/>
      <c r="KBS48" s="952"/>
      <c r="KBT48" s="952"/>
      <c r="KBU48" s="952"/>
      <c r="KBV48" s="952"/>
      <c r="KBW48" s="952"/>
      <c r="KBX48" s="952"/>
      <c r="KBY48" s="952"/>
      <c r="KBZ48" s="952"/>
      <c r="KCA48" s="952"/>
      <c r="KCB48" s="952"/>
      <c r="KCC48" s="952"/>
      <c r="KCD48" s="952"/>
      <c r="KCE48" s="952"/>
      <c r="KCF48" s="952"/>
      <c r="KCG48" s="952"/>
      <c r="KCH48" s="952"/>
      <c r="KCI48" s="952"/>
      <c r="KCJ48" s="952"/>
      <c r="KCK48" s="952"/>
      <c r="KCL48" s="952"/>
      <c r="KCM48" s="952"/>
      <c r="KCN48" s="952"/>
      <c r="KCO48" s="952"/>
      <c r="KCP48" s="952"/>
      <c r="KCQ48" s="952"/>
      <c r="KCR48" s="952"/>
      <c r="KCS48" s="952"/>
      <c r="KCT48" s="952"/>
      <c r="KCU48" s="952"/>
      <c r="KCV48" s="952"/>
      <c r="KCW48" s="952"/>
      <c r="KCX48" s="952"/>
      <c r="KCY48" s="952"/>
      <c r="KCZ48" s="952"/>
      <c r="KDA48" s="952"/>
      <c r="KDB48" s="952"/>
      <c r="KDC48" s="952"/>
      <c r="KDD48" s="952"/>
      <c r="KDE48" s="952"/>
      <c r="KDF48" s="952"/>
      <c r="KDG48" s="952"/>
      <c r="KDH48" s="952"/>
      <c r="KDI48" s="952"/>
      <c r="KDJ48" s="952"/>
      <c r="KDK48" s="952"/>
      <c r="KDL48" s="952"/>
      <c r="KDM48" s="952"/>
      <c r="KDN48" s="952"/>
      <c r="KDO48" s="952"/>
      <c r="KDP48" s="952"/>
      <c r="KDQ48" s="952"/>
      <c r="KDR48" s="952"/>
      <c r="KDS48" s="952"/>
      <c r="KDT48" s="952"/>
      <c r="KDU48" s="952"/>
      <c r="KDV48" s="952"/>
      <c r="KDW48" s="952"/>
      <c r="KDX48" s="952"/>
      <c r="KDY48" s="952"/>
      <c r="KDZ48" s="952"/>
      <c r="KEA48" s="952"/>
      <c r="KEB48" s="952"/>
      <c r="KEC48" s="952"/>
      <c r="KED48" s="952"/>
      <c r="KEE48" s="952"/>
      <c r="KEF48" s="952"/>
      <c r="KEG48" s="952"/>
      <c r="KEH48" s="952"/>
      <c r="KEI48" s="952"/>
      <c r="KEJ48" s="952"/>
      <c r="KEK48" s="952"/>
      <c r="KEL48" s="952"/>
      <c r="KEM48" s="952"/>
      <c r="KEN48" s="952"/>
      <c r="KEO48" s="952"/>
      <c r="KEP48" s="952"/>
      <c r="KEQ48" s="952"/>
      <c r="KER48" s="952"/>
      <c r="KES48" s="952"/>
      <c r="KET48" s="952"/>
      <c r="KEU48" s="952"/>
      <c r="KEV48" s="952"/>
      <c r="KEW48" s="952"/>
      <c r="KEX48" s="952"/>
      <c r="KEY48" s="952"/>
      <c r="KEZ48" s="952"/>
      <c r="KFA48" s="952"/>
      <c r="KFB48" s="952"/>
      <c r="KFC48" s="952"/>
      <c r="KFD48" s="952"/>
      <c r="KFE48" s="952"/>
      <c r="KFF48" s="952"/>
      <c r="KFG48" s="952"/>
      <c r="KFH48" s="952"/>
      <c r="KFI48" s="952"/>
      <c r="KFJ48" s="952"/>
      <c r="KFK48" s="952"/>
      <c r="KFL48" s="952"/>
      <c r="KFM48" s="952"/>
      <c r="KFN48" s="952"/>
      <c r="KFO48" s="952"/>
      <c r="KFP48" s="952"/>
      <c r="KFQ48" s="952"/>
      <c r="KFR48" s="952"/>
      <c r="KFS48" s="952"/>
      <c r="KFT48" s="952"/>
      <c r="KFU48" s="952"/>
      <c r="KFV48" s="952"/>
      <c r="KFW48" s="952"/>
      <c r="KFX48" s="952"/>
      <c r="KFY48" s="952"/>
      <c r="KFZ48" s="952"/>
      <c r="KGA48" s="952"/>
      <c r="KGB48" s="952"/>
      <c r="KGC48" s="952"/>
      <c r="KGD48" s="952"/>
      <c r="KGE48" s="952"/>
      <c r="KGF48" s="952"/>
      <c r="KGG48" s="952"/>
      <c r="KGH48" s="952"/>
      <c r="KGI48" s="952"/>
      <c r="KGJ48" s="952"/>
      <c r="KGK48" s="952"/>
      <c r="KGL48" s="952"/>
      <c r="KGM48" s="952"/>
      <c r="KGN48" s="952"/>
      <c r="KGO48" s="952"/>
      <c r="KGP48" s="952"/>
      <c r="KGQ48" s="952"/>
      <c r="KGR48" s="952"/>
      <c r="KGS48" s="952"/>
      <c r="KGT48" s="952"/>
      <c r="KGU48" s="952"/>
      <c r="KGV48" s="952"/>
      <c r="KGW48" s="952"/>
      <c r="KGX48" s="952"/>
      <c r="KGY48" s="952"/>
      <c r="KGZ48" s="952"/>
      <c r="KHA48" s="952"/>
      <c r="KHB48" s="952"/>
      <c r="KHC48" s="952"/>
      <c r="KHD48" s="952"/>
      <c r="KHE48" s="952"/>
      <c r="KHF48" s="952"/>
      <c r="KHG48" s="952"/>
      <c r="KHH48" s="952"/>
      <c r="KHI48" s="952"/>
      <c r="KHJ48" s="952"/>
      <c r="KHK48" s="952"/>
      <c r="KHL48" s="952"/>
      <c r="KHM48" s="952"/>
      <c r="KHN48" s="952"/>
      <c r="KHO48" s="952"/>
      <c r="KHP48" s="952"/>
      <c r="KHQ48" s="952"/>
      <c r="KHR48" s="952"/>
      <c r="KHS48" s="952"/>
      <c r="KHT48" s="952"/>
      <c r="KHU48" s="952"/>
      <c r="KHV48" s="952"/>
      <c r="KHW48" s="952"/>
      <c r="KHX48" s="952"/>
      <c r="KHY48" s="952"/>
      <c r="KHZ48" s="952"/>
      <c r="KIA48" s="952"/>
      <c r="KIB48" s="952"/>
      <c r="KIC48" s="952"/>
      <c r="KID48" s="952"/>
      <c r="KIE48" s="952"/>
      <c r="KIF48" s="952"/>
      <c r="KIG48" s="952"/>
      <c r="KIH48" s="952"/>
      <c r="KII48" s="952"/>
      <c r="KIJ48" s="952"/>
      <c r="KIK48" s="952"/>
      <c r="KIL48" s="952"/>
      <c r="KIM48" s="952"/>
      <c r="KIN48" s="952"/>
      <c r="KIO48" s="952"/>
      <c r="KIP48" s="952"/>
      <c r="KIQ48" s="952"/>
      <c r="KIR48" s="952"/>
      <c r="KIS48" s="952"/>
      <c r="KIT48" s="952"/>
      <c r="KIU48" s="952"/>
      <c r="KIV48" s="952"/>
      <c r="KIW48" s="952"/>
      <c r="KIX48" s="952"/>
      <c r="KIY48" s="952"/>
      <c r="KIZ48" s="952"/>
      <c r="KJA48" s="952"/>
      <c r="KJB48" s="952"/>
      <c r="KJC48" s="952"/>
      <c r="KJD48" s="952"/>
      <c r="KJE48" s="952"/>
      <c r="KJF48" s="952"/>
      <c r="KJG48" s="952"/>
      <c r="KJH48" s="952"/>
      <c r="KJI48" s="952"/>
      <c r="KJJ48" s="952"/>
      <c r="KJK48" s="952"/>
      <c r="KJL48" s="952"/>
      <c r="KJM48" s="952"/>
      <c r="KJN48" s="952"/>
      <c r="KJO48" s="952"/>
      <c r="KJP48" s="952"/>
      <c r="KJQ48" s="952"/>
      <c r="KJR48" s="952"/>
      <c r="KJS48" s="952"/>
      <c r="KJT48" s="952"/>
      <c r="KJU48" s="952"/>
      <c r="KJV48" s="952"/>
      <c r="KJW48" s="952"/>
      <c r="KJX48" s="952"/>
      <c r="KJY48" s="952"/>
      <c r="KJZ48" s="952"/>
      <c r="KKA48" s="952"/>
      <c r="KKB48" s="952"/>
      <c r="KKC48" s="952"/>
      <c r="KKD48" s="952"/>
      <c r="KKE48" s="952"/>
      <c r="KKF48" s="952"/>
      <c r="KKG48" s="952"/>
      <c r="KKH48" s="952"/>
      <c r="KKI48" s="952"/>
      <c r="KKJ48" s="952"/>
      <c r="KKK48" s="952"/>
      <c r="KKL48" s="952"/>
      <c r="KKM48" s="952"/>
      <c r="KKN48" s="952"/>
      <c r="KKO48" s="952"/>
      <c r="KKP48" s="952"/>
      <c r="KKQ48" s="952"/>
      <c r="KKR48" s="952"/>
      <c r="KKS48" s="952"/>
      <c r="KKT48" s="952"/>
      <c r="KKU48" s="952"/>
      <c r="KKV48" s="952"/>
      <c r="KKW48" s="952"/>
      <c r="KKX48" s="952"/>
      <c r="KKY48" s="952"/>
      <c r="KKZ48" s="952"/>
      <c r="KLA48" s="952"/>
      <c r="KLB48" s="952"/>
      <c r="KLC48" s="952"/>
      <c r="KLD48" s="952"/>
      <c r="KLE48" s="952"/>
      <c r="KLF48" s="952"/>
      <c r="KLG48" s="952"/>
      <c r="KLH48" s="952"/>
      <c r="KLI48" s="952"/>
      <c r="KLJ48" s="952"/>
      <c r="KLK48" s="952"/>
      <c r="KLL48" s="952"/>
      <c r="KLM48" s="952"/>
      <c r="KLN48" s="952"/>
      <c r="KLO48" s="952"/>
      <c r="KLP48" s="952"/>
      <c r="KLQ48" s="952"/>
      <c r="KLR48" s="952"/>
      <c r="KLS48" s="952"/>
      <c r="KLT48" s="952"/>
      <c r="KLU48" s="952"/>
      <c r="KLV48" s="952"/>
      <c r="KLW48" s="952"/>
      <c r="KLX48" s="952"/>
      <c r="KLY48" s="952"/>
      <c r="KLZ48" s="952"/>
      <c r="KMA48" s="952"/>
      <c r="KMB48" s="952"/>
      <c r="KMC48" s="952"/>
      <c r="KMD48" s="952"/>
      <c r="KME48" s="952"/>
      <c r="KMF48" s="952"/>
      <c r="KMG48" s="952"/>
      <c r="KMH48" s="952"/>
      <c r="KMI48" s="952"/>
      <c r="KMJ48" s="952"/>
      <c r="KMK48" s="952"/>
      <c r="KML48" s="952"/>
      <c r="KMM48" s="952"/>
      <c r="KMN48" s="952"/>
      <c r="KMO48" s="952"/>
      <c r="KMP48" s="952"/>
      <c r="KMQ48" s="952"/>
      <c r="KMR48" s="952"/>
      <c r="KMS48" s="952"/>
      <c r="KMT48" s="952"/>
      <c r="KMU48" s="952"/>
      <c r="KMV48" s="952"/>
      <c r="KMW48" s="952"/>
      <c r="KMX48" s="952"/>
      <c r="KMY48" s="952"/>
      <c r="KMZ48" s="952"/>
      <c r="KNA48" s="952"/>
      <c r="KNB48" s="952"/>
      <c r="KNC48" s="952"/>
      <c r="KND48" s="952"/>
      <c r="KNE48" s="952"/>
      <c r="KNF48" s="952"/>
      <c r="KNG48" s="952"/>
      <c r="KNH48" s="952"/>
      <c r="KNI48" s="952"/>
      <c r="KNJ48" s="952"/>
      <c r="KNK48" s="952"/>
      <c r="KNL48" s="952"/>
      <c r="KNM48" s="952"/>
      <c r="KNN48" s="952"/>
      <c r="KNO48" s="952"/>
      <c r="KNP48" s="952"/>
      <c r="KNQ48" s="952"/>
      <c r="KNR48" s="952"/>
      <c r="KNS48" s="952"/>
      <c r="KNT48" s="952"/>
      <c r="KNU48" s="952"/>
      <c r="KNV48" s="952"/>
      <c r="KNW48" s="952"/>
      <c r="KNX48" s="952"/>
      <c r="KNY48" s="952"/>
      <c r="KNZ48" s="952"/>
      <c r="KOA48" s="952"/>
      <c r="KOB48" s="952"/>
      <c r="KOC48" s="952"/>
      <c r="KOD48" s="952"/>
      <c r="KOE48" s="952"/>
      <c r="KOF48" s="952"/>
      <c r="KOG48" s="952"/>
      <c r="KOH48" s="952"/>
      <c r="KOI48" s="952"/>
      <c r="KOJ48" s="952"/>
      <c r="KOK48" s="952"/>
      <c r="KOL48" s="952"/>
      <c r="KOM48" s="952"/>
      <c r="KON48" s="952"/>
      <c r="KOO48" s="952"/>
      <c r="KOP48" s="952"/>
      <c r="KOQ48" s="952"/>
      <c r="KOR48" s="952"/>
      <c r="KOS48" s="952"/>
      <c r="KOT48" s="952"/>
      <c r="KOU48" s="952"/>
      <c r="KOV48" s="952"/>
      <c r="KOW48" s="952"/>
      <c r="KOX48" s="952"/>
      <c r="KOY48" s="952"/>
      <c r="KOZ48" s="952"/>
      <c r="KPA48" s="952"/>
      <c r="KPB48" s="952"/>
      <c r="KPC48" s="952"/>
      <c r="KPD48" s="952"/>
      <c r="KPE48" s="952"/>
      <c r="KPF48" s="952"/>
      <c r="KPG48" s="952"/>
      <c r="KPH48" s="952"/>
      <c r="KPI48" s="952"/>
      <c r="KPJ48" s="952"/>
      <c r="KPK48" s="952"/>
      <c r="KPL48" s="952"/>
      <c r="KPM48" s="952"/>
      <c r="KPN48" s="952"/>
      <c r="KPO48" s="952"/>
      <c r="KPP48" s="952"/>
      <c r="KPQ48" s="952"/>
      <c r="KPR48" s="952"/>
      <c r="KPS48" s="952"/>
      <c r="KPT48" s="952"/>
      <c r="KPU48" s="952"/>
      <c r="KPV48" s="952"/>
      <c r="KPW48" s="952"/>
      <c r="KPX48" s="952"/>
      <c r="KPY48" s="952"/>
      <c r="KPZ48" s="952"/>
      <c r="KQA48" s="952"/>
      <c r="KQB48" s="952"/>
      <c r="KQC48" s="952"/>
      <c r="KQD48" s="952"/>
      <c r="KQE48" s="952"/>
      <c r="KQF48" s="952"/>
      <c r="KQG48" s="952"/>
      <c r="KQH48" s="952"/>
      <c r="KQI48" s="952"/>
      <c r="KQJ48" s="952"/>
      <c r="KQK48" s="952"/>
      <c r="KQL48" s="952"/>
      <c r="KQM48" s="952"/>
      <c r="KQN48" s="952"/>
      <c r="KQO48" s="952"/>
      <c r="KQP48" s="952"/>
      <c r="KQQ48" s="952"/>
      <c r="KQR48" s="952"/>
      <c r="KQS48" s="952"/>
      <c r="KQT48" s="952"/>
      <c r="KQU48" s="952"/>
      <c r="KQV48" s="952"/>
      <c r="KQW48" s="952"/>
      <c r="KQX48" s="952"/>
      <c r="KQY48" s="952"/>
      <c r="KQZ48" s="952"/>
      <c r="KRA48" s="952"/>
      <c r="KRB48" s="952"/>
      <c r="KRC48" s="952"/>
      <c r="KRD48" s="952"/>
      <c r="KRE48" s="952"/>
      <c r="KRF48" s="952"/>
      <c r="KRG48" s="952"/>
      <c r="KRH48" s="952"/>
      <c r="KRI48" s="952"/>
      <c r="KRJ48" s="952"/>
      <c r="KRK48" s="952"/>
      <c r="KRL48" s="952"/>
      <c r="KRM48" s="952"/>
      <c r="KRN48" s="952"/>
      <c r="KRO48" s="952"/>
      <c r="KRP48" s="952"/>
      <c r="KRQ48" s="952"/>
      <c r="KRR48" s="952"/>
      <c r="KRS48" s="952"/>
      <c r="KRT48" s="952"/>
      <c r="KRU48" s="952"/>
      <c r="KRV48" s="952"/>
      <c r="KRW48" s="952"/>
      <c r="KRX48" s="952"/>
      <c r="KRY48" s="952"/>
      <c r="KRZ48" s="952"/>
      <c r="KSA48" s="952"/>
      <c r="KSB48" s="952"/>
      <c r="KSC48" s="952"/>
      <c r="KSD48" s="952"/>
      <c r="KSE48" s="952"/>
      <c r="KSF48" s="952"/>
      <c r="KSG48" s="952"/>
      <c r="KSH48" s="952"/>
      <c r="KSI48" s="952"/>
      <c r="KSJ48" s="952"/>
      <c r="KSK48" s="952"/>
      <c r="KSL48" s="952"/>
      <c r="KSM48" s="952"/>
      <c r="KSN48" s="952"/>
      <c r="KSO48" s="952"/>
      <c r="KSP48" s="952"/>
      <c r="KSQ48" s="952"/>
      <c r="KSR48" s="952"/>
      <c r="KSS48" s="952"/>
      <c r="KST48" s="952"/>
      <c r="KSU48" s="952"/>
      <c r="KSV48" s="952"/>
      <c r="KSW48" s="952"/>
      <c r="KSX48" s="952"/>
      <c r="KSY48" s="952"/>
      <c r="KSZ48" s="952"/>
      <c r="KTA48" s="952"/>
      <c r="KTB48" s="952"/>
      <c r="KTC48" s="952"/>
      <c r="KTD48" s="952"/>
      <c r="KTE48" s="952"/>
      <c r="KTF48" s="952"/>
      <c r="KTG48" s="952"/>
      <c r="KTH48" s="952"/>
      <c r="KTI48" s="952"/>
      <c r="KTJ48" s="952"/>
      <c r="KTK48" s="952"/>
      <c r="KTL48" s="952"/>
      <c r="KTM48" s="952"/>
      <c r="KTN48" s="952"/>
      <c r="KTO48" s="952"/>
      <c r="KTP48" s="952"/>
      <c r="KTQ48" s="952"/>
      <c r="KTR48" s="952"/>
      <c r="KTS48" s="952"/>
      <c r="KTT48" s="952"/>
      <c r="KTU48" s="952"/>
      <c r="KTV48" s="952"/>
      <c r="KTW48" s="952"/>
      <c r="KTX48" s="952"/>
      <c r="KTY48" s="952"/>
      <c r="KTZ48" s="952"/>
      <c r="KUA48" s="952"/>
      <c r="KUB48" s="952"/>
      <c r="KUC48" s="952"/>
      <c r="KUD48" s="952"/>
      <c r="KUE48" s="952"/>
      <c r="KUF48" s="952"/>
      <c r="KUG48" s="952"/>
      <c r="KUH48" s="952"/>
      <c r="KUI48" s="952"/>
      <c r="KUJ48" s="952"/>
      <c r="KUK48" s="952"/>
      <c r="KUL48" s="952"/>
      <c r="KUM48" s="952"/>
      <c r="KUN48" s="952"/>
      <c r="KUO48" s="952"/>
      <c r="KUP48" s="952"/>
      <c r="KUQ48" s="952"/>
      <c r="KUR48" s="952"/>
      <c r="KUS48" s="952"/>
      <c r="KUT48" s="952"/>
      <c r="KUU48" s="952"/>
      <c r="KUV48" s="952"/>
      <c r="KUW48" s="952"/>
      <c r="KUX48" s="952"/>
      <c r="KUY48" s="952"/>
      <c r="KUZ48" s="952"/>
      <c r="KVA48" s="952"/>
      <c r="KVB48" s="952"/>
      <c r="KVC48" s="952"/>
      <c r="KVD48" s="952"/>
      <c r="KVE48" s="952"/>
      <c r="KVF48" s="952"/>
      <c r="KVG48" s="952"/>
      <c r="KVH48" s="952"/>
      <c r="KVI48" s="952"/>
      <c r="KVJ48" s="952"/>
      <c r="KVK48" s="952"/>
      <c r="KVL48" s="952"/>
      <c r="KVM48" s="952"/>
      <c r="KVN48" s="952"/>
      <c r="KVO48" s="952"/>
      <c r="KVP48" s="952"/>
      <c r="KVQ48" s="952"/>
      <c r="KVR48" s="952"/>
      <c r="KVS48" s="952"/>
      <c r="KVT48" s="952"/>
      <c r="KVU48" s="952"/>
      <c r="KVV48" s="952"/>
      <c r="KVW48" s="952"/>
      <c r="KVX48" s="952"/>
      <c r="KVY48" s="952"/>
      <c r="KVZ48" s="952"/>
      <c r="KWA48" s="952"/>
      <c r="KWB48" s="952"/>
      <c r="KWC48" s="952"/>
      <c r="KWD48" s="952"/>
      <c r="KWE48" s="952"/>
      <c r="KWF48" s="952"/>
      <c r="KWG48" s="952"/>
      <c r="KWH48" s="952"/>
      <c r="KWI48" s="952"/>
      <c r="KWJ48" s="952"/>
      <c r="KWK48" s="952"/>
      <c r="KWL48" s="952"/>
      <c r="KWM48" s="952"/>
      <c r="KWN48" s="952"/>
      <c r="KWO48" s="952"/>
      <c r="KWP48" s="952"/>
      <c r="KWQ48" s="952"/>
      <c r="KWR48" s="952"/>
      <c r="KWS48" s="952"/>
      <c r="KWT48" s="952"/>
      <c r="KWU48" s="952"/>
      <c r="KWV48" s="952"/>
      <c r="KWW48" s="952"/>
      <c r="KWX48" s="952"/>
      <c r="KWY48" s="952"/>
      <c r="KWZ48" s="952"/>
      <c r="KXA48" s="952"/>
      <c r="KXB48" s="952"/>
      <c r="KXC48" s="952"/>
      <c r="KXD48" s="952"/>
      <c r="KXE48" s="952"/>
      <c r="KXF48" s="952"/>
      <c r="KXG48" s="952"/>
      <c r="KXH48" s="952"/>
      <c r="KXI48" s="952"/>
      <c r="KXJ48" s="952"/>
      <c r="KXK48" s="952"/>
      <c r="KXL48" s="952"/>
      <c r="KXM48" s="952"/>
      <c r="KXN48" s="952"/>
      <c r="KXO48" s="952"/>
      <c r="KXP48" s="952"/>
      <c r="KXQ48" s="952"/>
      <c r="KXR48" s="952"/>
      <c r="KXS48" s="952"/>
      <c r="KXT48" s="952"/>
      <c r="KXU48" s="952"/>
      <c r="KXV48" s="952"/>
      <c r="KXW48" s="952"/>
      <c r="KXX48" s="952"/>
      <c r="KXY48" s="952"/>
      <c r="KXZ48" s="952"/>
      <c r="KYA48" s="952"/>
      <c r="KYB48" s="952"/>
      <c r="KYC48" s="952"/>
      <c r="KYD48" s="952"/>
      <c r="KYE48" s="952"/>
      <c r="KYF48" s="952"/>
      <c r="KYG48" s="952"/>
      <c r="KYH48" s="952"/>
      <c r="KYI48" s="952"/>
      <c r="KYJ48" s="952"/>
      <c r="KYK48" s="952"/>
      <c r="KYL48" s="952"/>
      <c r="KYM48" s="952"/>
      <c r="KYN48" s="952"/>
      <c r="KYO48" s="952"/>
      <c r="KYP48" s="952"/>
      <c r="KYQ48" s="952"/>
      <c r="KYR48" s="952"/>
      <c r="KYS48" s="952"/>
      <c r="KYT48" s="952"/>
      <c r="KYU48" s="952"/>
      <c r="KYV48" s="952"/>
      <c r="KYW48" s="952"/>
      <c r="KYX48" s="952"/>
      <c r="KYY48" s="952"/>
      <c r="KYZ48" s="952"/>
      <c r="KZA48" s="952"/>
      <c r="KZB48" s="952"/>
      <c r="KZC48" s="952"/>
      <c r="KZD48" s="952"/>
      <c r="KZE48" s="952"/>
      <c r="KZF48" s="952"/>
      <c r="KZG48" s="952"/>
      <c r="KZH48" s="952"/>
      <c r="KZI48" s="952"/>
      <c r="KZJ48" s="952"/>
      <c r="KZK48" s="952"/>
      <c r="KZL48" s="952"/>
      <c r="KZM48" s="952"/>
      <c r="KZN48" s="952"/>
      <c r="KZO48" s="952"/>
      <c r="KZP48" s="952"/>
      <c r="KZQ48" s="952"/>
      <c r="KZR48" s="952"/>
      <c r="KZS48" s="952"/>
      <c r="KZT48" s="952"/>
      <c r="KZU48" s="952"/>
      <c r="KZV48" s="952"/>
      <c r="KZW48" s="952"/>
      <c r="KZX48" s="952"/>
      <c r="KZY48" s="952"/>
      <c r="KZZ48" s="952"/>
      <c r="LAA48" s="952"/>
      <c r="LAB48" s="952"/>
      <c r="LAC48" s="952"/>
      <c r="LAD48" s="952"/>
      <c r="LAE48" s="952"/>
      <c r="LAF48" s="952"/>
      <c r="LAG48" s="952"/>
      <c r="LAH48" s="952"/>
      <c r="LAI48" s="952"/>
      <c r="LAJ48" s="952"/>
      <c r="LAK48" s="952"/>
      <c r="LAL48" s="952"/>
      <c r="LAM48" s="952"/>
      <c r="LAN48" s="952"/>
      <c r="LAO48" s="952"/>
      <c r="LAP48" s="952"/>
      <c r="LAQ48" s="952"/>
      <c r="LAR48" s="952"/>
      <c r="LAS48" s="952"/>
      <c r="LAT48" s="952"/>
      <c r="LAU48" s="952"/>
      <c r="LAV48" s="952"/>
      <c r="LAW48" s="952"/>
      <c r="LAX48" s="952"/>
      <c r="LAY48" s="952"/>
      <c r="LAZ48" s="952"/>
      <c r="LBA48" s="952"/>
      <c r="LBB48" s="952"/>
      <c r="LBC48" s="952"/>
      <c r="LBD48" s="952"/>
      <c r="LBE48" s="952"/>
      <c r="LBF48" s="952"/>
      <c r="LBG48" s="952"/>
      <c r="LBH48" s="952"/>
      <c r="LBI48" s="952"/>
      <c r="LBJ48" s="952"/>
      <c r="LBK48" s="952"/>
      <c r="LBL48" s="952"/>
      <c r="LBM48" s="952"/>
      <c r="LBN48" s="952"/>
      <c r="LBO48" s="952"/>
      <c r="LBP48" s="952"/>
      <c r="LBQ48" s="952"/>
      <c r="LBR48" s="952"/>
      <c r="LBS48" s="952"/>
      <c r="LBT48" s="952"/>
      <c r="LBU48" s="952"/>
      <c r="LBV48" s="952"/>
      <c r="LBW48" s="952"/>
      <c r="LBX48" s="952"/>
      <c r="LBY48" s="952"/>
      <c r="LBZ48" s="952"/>
      <c r="LCA48" s="952"/>
      <c r="LCB48" s="952"/>
      <c r="LCC48" s="952"/>
      <c r="LCD48" s="952"/>
      <c r="LCE48" s="952"/>
      <c r="LCF48" s="952"/>
      <c r="LCG48" s="952"/>
      <c r="LCH48" s="952"/>
      <c r="LCI48" s="952"/>
      <c r="LCJ48" s="952"/>
      <c r="LCK48" s="952"/>
      <c r="LCL48" s="952"/>
      <c r="LCM48" s="952"/>
      <c r="LCN48" s="952"/>
      <c r="LCO48" s="952"/>
      <c r="LCP48" s="952"/>
      <c r="LCQ48" s="952"/>
      <c r="LCR48" s="952"/>
      <c r="LCS48" s="952"/>
      <c r="LCT48" s="952"/>
      <c r="LCU48" s="952"/>
      <c r="LCV48" s="952"/>
      <c r="LCW48" s="952"/>
      <c r="LCX48" s="952"/>
      <c r="LCY48" s="952"/>
      <c r="LCZ48" s="952"/>
      <c r="LDA48" s="952"/>
      <c r="LDB48" s="952"/>
      <c r="LDC48" s="952"/>
      <c r="LDD48" s="952"/>
      <c r="LDE48" s="952"/>
      <c r="LDF48" s="952"/>
      <c r="LDG48" s="952"/>
      <c r="LDH48" s="952"/>
      <c r="LDI48" s="952"/>
      <c r="LDJ48" s="952"/>
      <c r="LDK48" s="952"/>
      <c r="LDL48" s="952"/>
      <c r="LDM48" s="952"/>
      <c r="LDN48" s="952"/>
      <c r="LDO48" s="952"/>
      <c r="LDP48" s="952"/>
      <c r="LDQ48" s="952"/>
      <c r="LDR48" s="952"/>
      <c r="LDS48" s="952"/>
      <c r="LDT48" s="952"/>
      <c r="LDU48" s="952"/>
      <c r="LDV48" s="952"/>
      <c r="LDW48" s="952"/>
      <c r="LDX48" s="952"/>
      <c r="LDY48" s="952"/>
      <c r="LDZ48" s="952"/>
      <c r="LEA48" s="952"/>
      <c r="LEB48" s="952"/>
      <c r="LEC48" s="952"/>
      <c r="LED48" s="952"/>
      <c r="LEE48" s="952"/>
      <c r="LEF48" s="952"/>
      <c r="LEG48" s="952"/>
      <c r="LEH48" s="952"/>
      <c r="LEI48" s="952"/>
      <c r="LEJ48" s="952"/>
      <c r="LEK48" s="952"/>
      <c r="LEL48" s="952"/>
      <c r="LEM48" s="952"/>
      <c r="LEN48" s="952"/>
      <c r="LEO48" s="952"/>
      <c r="LEP48" s="952"/>
      <c r="LEQ48" s="952"/>
      <c r="LER48" s="952"/>
      <c r="LES48" s="952"/>
      <c r="LET48" s="952"/>
      <c r="LEU48" s="952"/>
      <c r="LEV48" s="952"/>
      <c r="LEW48" s="952"/>
      <c r="LEX48" s="952"/>
      <c r="LEY48" s="952"/>
      <c r="LEZ48" s="952"/>
      <c r="LFA48" s="952"/>
      <c r="LFB48" s="952"/>
      <c r="LFC48" s="952"/>
      <c r="LFD48" s="952"/>
      <c r="LFE48" s="952"/>
      <c r="LFF48" s="952"/>
      <c r="LFG48" s="952"/>
      <c r="LFH48" s="952"/>
      <c r="LFI48" s="952"/>
      <c r="LFJ48" s="952"/>
      <c r="LFK48" s="952"/>
      <c r="LFL48" s="952"/>
      <c r="LFM48" s="952"/>
      <c r="LFN48" s="952"/>
      <c r="LFO48" s="952"/>
      <c r="LFP48" s="952"/>
      <c r="LFQ48" s="952"/>
      <c r="LFR48" s="952"/>
      <c r="LFS48" s="952"/>
      <c r="LFT48" s="952"/>
      <c r="LFU48" s="952"/>
      <c r="LFV48" s="952"/>
      <c r="LFW48" s="952"/>
      <c r="LFX48" s="952"/>
      <c r="LFY48" s="952"/>
      <c r="LFZ48" s="952"/>
      <c r="LGA48" s="952"/>
      <c r="LGB48" s="952"/>
      <c r="LGC48" s="952"/>
      <c r="LGD48" s="952"/>
      <c r="LGE48" s="952"/>
      <c r="LGF48" s="952"/>
      <c r="LGG48" s="952"/>
      <c r="LGH48" s="952"/>
      <c r="LGI48" s="952"/>
      <c r="LGJ48" s="952"/>
      <c r="LGK48" s="952"/>
      <c r="LGL48" s="952"/>
      <c r="LGM48" s="952"/>
      <c r="LGN48" s="952"/>
      <c r="LGO48" s="952"/>
      <c r="LGP48" s="952"/>
      <c r="LGQ48" s="952"/>
      <c r="LGR48" s="952"/>
      <c r="LGS48" s="952"/>
      <c r="LGT48" s="952"/>
      <c r="LGU48" s="952"/>
      <c r="LGV48" s="952"/>
      <c r="LGW48" s="952"/>
      <c r="LGX48" s="952"/>
      <c r="LGY48" s="952"/>
      <c r="LGZ48" s="952"/>
      <c r="LHA48" s="952"/>
      <c r="LHB48" s="952"/>
      <c r="LHC48" s="952"/>
      <c r="LHD48" s="952"/>
      <c r="LHE48" s="952"/>
      <c r="LHF48" s="952"/>
      <c r="LHG48" s="952"/>
      <c r="LHH48" s="952"/>
      <c r="LHI48" s="952"/>
      <c r="LHJ48" s="952"/>
      <c r="LHK48" s="952"/>
      <c r="LHL48" s="952"/>
      <c r="LHM48" s="952"/>
      <c r="LHN48" s="952"/>
      <c r="LHO48" s="952"/>
      <c r="LHP48" s="952"/>
      <c r="LHQ48" s="952"/>
      <c r="LHR48" s="952"/>
      <c r="LHS48" s="952"/>
      <c r="LHT48" s="952"/>
      <c r="LHU48" s="952"/>
      <c r="LHV48" s="952"/>
      <c r="LHW48" s="952"/>
      <c r="LHX48" s="952"/>
      <c r="LHY48" s="952"/>
      <c r="LHZ48" s="952"/>
      <c r="LIA48" s="952"/>
      <c r="LIB48" s="952"/>
      <c r="LIC48" s="952"/>
      <c r="LID48" s="952"/>
      <c r="LIE48" s="952"/>
      <c r="LIF48" s="952"/>
      <c r="LIG48" s="952"/>
      <c r="LIH48" s="952"/>
      <c r="LII48" s="952"/>
      <c r="LIJ48" s="952"/>
      <c r="LIK48" s="952"/>
      <c r="LIL48" s="952"/>
      <c r="LIM48" s="952"/>
      <c r="LIN48" s="952"/>
      <c r="LIO48" s="952"/>
      <c r="LIP48" s="952"/>
      <c r="LIQ48" s="952"/>
      <c r="LIR48" s="952"/>
      <c r="LIS48" s="952"/>
      <c r="LIT48" s="952"/>
      <c r="LIU48" s="952"/>
      <c r="LIV48" s="952"/>
      <c r="LIW48" s="952"/>
      <c r="LIX48" s="952"/>
      <c r="LIY48" s="952"/>
      <c r="LIZ48" s="952"/>
      <c r="LJA48" s="952"/>
      <c r="LJB48" s="952"/>
      <c r="LJC48" s="952"/>
      <c r="LJD48" s="952"/>
      <c r="LJE48" s="952"/>
      <c r="LJF48" s="952"/>
      <c r="LJG48" s="952"/>
      <c r="LJH48" s="952"/>
      <c r="LJI48" s="952"/>
      <c r="LJJ48" s="952"/>
      <c r="LJK48" s="952"/>
      <c r="LJL48" s="952"/>
      <c r="LJM48" s="952"/>
      <c r="LJN48" s="952"/>
      <c r="LJO48" s="952"/>
      <c r="LJP48" s="952"/>
      <c r="LJQ48" s="952"/>
      <c r="LJR48" s="952"/>
      <c r="LJS48" s="952"/>
      <c r="LJT48" s="952"/>
      <c r="LJU48" s="952"/>
      <c r="LJV48" s="952"/>
      <c r="LJW48" s="952"/>
      <c r="LJX48" s="952"/>
      <c r="LJY48" s="952"/>
      <c r="LJZ48" s="952"/>
      <c r="LKA48" s="952"/>
      <c r="LKB48" s="952"/>
      <c r="LKC48" s="952"/>
      <c r="LKD48" s="952"/>
      <c r="LKE48" s="952"/>
      <c r="LKF48" s="952"/>
      <c r="LKG48" s="952"/>
      <c r="LKH48" s="952"/>
      <c r="LKI48" s="952"/>
      <c r="LKJ48" s="952"/>
      <c r="LKK48" s="952"/>
      <c r="LKL48" s="952"/>
      <c r="LKM48" s="952"/>
      <c r="LKN48" s="952"/>
      <c r="LKO48" s="952"/>
      <c r="LKP48" s="952"/>
      <c r="LKQ48" s="952"/>
      <c r="LKR48" s="952"/>
      <c r="LKS48" s="952"/>
      <c r="LKT48" s="952"/>
      <c r="LKU48" s="952"/>
      <c r="LKV48" s="952"/>
      <c r="LKW48" s="952"/>
      <c r="LKX48" s="952"/>
      <c r="LKY48" s="952"/>
      <c r="LKZ48" s="952"/>
      <c r="LLA48" s="952"/>
      <c r="LLB48" s="952"/>
      <c r="LLC48" s="952"/>
      <c r="LLD48" s="952"/>
      <c r="LLE48" s="952"/>
      <c r="LLF48" s="952"/>
      <c r="LLG48" s="952"/>
      <c r="LLH48" s="952"/>
      <c r="LLI48" s="952"/>
      <c r="LLJ48" s="952"/>
      <c r="LLK48" s="952"/>
      <c r="LLL48" s="952"/>
      <c r="LLM48" s="952"/>
      <c r="LLN48" s="952"/>
      <c r="LLO48" s="952"/>
      <c r="LLP48" s="952"/>
      <c r="LLQ48" s="952"/>
      <c r="LLR48" s="952"/>
      <c r="LLS48" s="952"/>
      <c r="LLT48" s="952"/>
      <c r="LLU48" s="952"/>
      <c r="LLV48" s="952"/>
      <c r="LLW48" s="952"/>
      <c r="LLX48" s="952"/>
      <c r="LLY48" s="952"/>
      <c r="LLZ48" s="952"/>
      <c r="LMA48" s="952"/>
      <c r="LMB48" s="952"/>
      <c r="LMC48" s="952"/>
      <c r="LMD48" s="952"/>
      <c r="LME48" s="952"/>
      <c r="LMF48" s="952"/>
      <c r="LMG48" s="952"/>
      <c r="LMH48" s="952"/>
      <c r="LMI48" s="952"/>
      <c r="LMJ48" s="952"/>
      <c r="LMK48" s="952"/>
      <c r="LML48" s="952"/>
      <c r="LMM48" s="952"/>
      <c r="LMN48" s="952"/>
      <c r="LMO48" s="952"/>
      <c r="LMP48" s="952"/>
      <c r="LMQ48" s="952"/>
      <c r="LMR48" s="952"/>
      <c r="LMS48" s="952"/>
      <c r="LMT48" s="952"/>
      <c r="LMU48" s="952"/>
      <c r="LMV48" s="952"/>
      <c r="LMW48" s="952"/>
      <c r="LMX48" s="952"/>
      <c r="LMY48" s="952"/>
      <c r="LMZ48" s="952"/>
      <c r="LNA48" s="952"/>
      <c r="LNB48" s="952"/>
      <c r="LNC48" s="952"/>
      <c r="LND48" s="952"/>
      <c r="LNE48" s="952"/>
      <c r="LNF48" s="952"/>
      <c r="LNG48" s="952"/>
      <c r="LNH48" s="952"/>
      <c r="LNI48" s="952"/>
      <c r="LNJ48" s="952"/>
      <c r="LNK48" s="952"/>
      <c r="LNL48" s="952"/>
      <c r="LNM48" s="952"/>
      <c r="LNN48" s="952"/>
      <c r="LNO48" s="952"/>
      <c r="LNP48" s="952"/>
      <c r="LNQ48" s="952"/>
      <c r="LNR48" s="952"/>
      <c r="LNS48" s="952"/>
      <c r="LNT48" s="952"/>
      <c r="LNU48" s="952"/>
      <c r="LNV48" s="952"/>
      <c r="LNW48" s="952"/>
      <c r="LNX48" s="952"/>
      <c r="LNY48" s="952"/>
      <c r="LNZ48" s="952"/>
      <c r="LOA48" s="952"/>
      <c r="LOB48" s="952"/>
      <c r="LOC48" s="952"/>
      <c r="LOD48" s="952"/>
      <c r="LOE48" s="952"/>
      <c r="LOF48" s="952"/>
      <c r="LOG48" s="952"/>
      <c r="LOH48" s="952"/>
      <c r="LOI48" s="952"/>
      <c r="LOJ48" s="952"/>
      <c r="LOK48" s="952"/>
      <c r="LOL48" s="952"/>
      <c r="LOM48" s="952"/>
      <c r="LON48" s="952"/>
      <c r="LOO48" s="952"/>
      <c r="LOP48" s="952"/>
      <c r="LOQ48" s="952"/>
      <c r="LOR48" s="952"/>
      <c r="LOS48" s="952"/>
      <c r="LOT48" s="952"/>
      <c r="LOU48" s="952"/>
      <c r="LOV48" s="952"/>
      <c r="LOW48" s="952"/>
      <c r="LOX48" s="952"/>
      <c r="LOY48" s="952"/>
      <c r="LOZ48" s="952"/>
      <c r="LPA48" s="952"/>
      <c r="LPB48" s="952"/>
      <c r="LPC48" s="952"/>
      <c r="LPD48" s="952"/>
      <c r="LPE48" s="952"/>
      <c r="LPF48" s="952"/>
      <c r="LPG48" s="952"/>
      <c r="LPH48" s="952"/>
      <c r="LPI48" s="952"/>
      <c r="LPJ48" s="952"/>
      <c r="LPK48" s="952"/>
      <c r="LPL48" s="952"/>
      <c r="LPM48" s="952"/>
      <c r="LPN48" s="952"/>
      <c r="LPO48" s="952"/>
      <c r="LPP48" s="952"/>
      <c r="LPQ48" s="952"/>
      <c r="LPR48" s="952"/>
      <c r="LPS48" s="952"/>
      <c r="LPT48" s="952"/>
      <c r="LPU48" s="952"/>
      <c r="LPV48" s="952"/>
      <c r="LPW48" s="952"/>
      <c r="LPX48" s="952"/>
      <c r="LPY48" s="952"/>
      <c r="LPZ48" s="952"/>
      <c r="LQA48" s="952"/>
      <c r="LQB48" s="952"/>
      <c r="LQC48" s="952"/>
      <c r="LQD48" s="952"/>
      <c r="LQE48" s="952"/>
      <c r="LQF48" s="952"/>
      <c r="LQG48" s="952"/>
      <c r="LQH48" s="952"/>
      <c r="LQI48" s="952"/>
      <c r="LQJ48" s="952"/>
      <c r="LQK48" s="952"/>
      <c r="LQL48" s="952"/>
      <c r="LQM48" s="952"/>
      <c r="LQN48" s="952"/>
      <c r="LQO48" s="952"/>
      <c r="LQP48" s="952"/>
      <c r="LQQ48" s="952"/>
      <c r="LQR48" s="952"/>
      <c r="LQS48" s="952"/>
      <c r="LQT48" s="952"/>
      <c r="LQU48" s="952"/>
      <c r="LQV48" s="952"/>
      <c r="LQW48" s="952"/>
      <c r="LQX48" s="952"/>
      <c r="LQY48" s="952"/>
      <c r="LQZ48" s="952"/>
      <c r="LRA48" s="952"/>
      <c r="LRB48" s="952"/>
      <c r="LRC48" s="952"/>
      <c r="LRD48" s="952"/>
      <c r="LRE48" s="952"/>
      <c r="LRF48" s="952"/>
      <c r="LRG48" s="952"/>
      <c r="LRH48" s="952"/>
      <c r="LRI48" s="952"/>
      <c r="LRJ48" s="952"/>
      <c r="LRK48" s="952"/>
      <c r="LRL48" s="952"/>
      <c r="LRM48" s="952"/>
      <c r="LRN48" s="952"/>
      <c r="LRO48" s="952"/>
      <c r="LRP48" s="952"/>
      <c r="LRQ48" s="952"/>
      <c r="LRR48" s="952"/>
      <c r="LRS48" s="952"/>
      <c r="LRT48" s="952"/>
      <c r="LRU48" s="952"/>
      <c r="LRV48" s="952"/>
      <c r="LRW48" s="952"/>
      <c r="LRX48" s="952"/>
      <c r="LRY48" s="952"/>
      <c r="LRZ48" s="952"/>
      <c r="LSA48" s="952"/>
      <c r="LSB48" s="952"/>
      <c r="LSC48" s="952"/>
      <c r="LSD48" s="952"/>
      <c r="LSE48" s="952"/>
      <c r="LSF48" s="952"/>
      <c r="LSG48" s="952"/>
      <c r="LSH48" s="952"/>
      <c r="LSI48" s="952"/>
      <c r="LSJ48" s="952"/>
      <c r="LSK48" s="952"/>
      <c r="LSL48" s="952"/>
      <c r="LSM48" s="952"/>
      <c r="LSN48" s="952"/>
      <c r="LSO48" s="952"/>
      <c r="LSP48" s="952"/>
      <c r="LSQ48" s="952"/>
      <c r="LSR48" s="952"/>
      <c r="LSS48" s="952"/>
      <c r="LST48" s="952"/>
      <c r="LSU48" s="952"/>
      <c r="LSV48" s="952"/>
      <c r="LSW48" s="952"/>
      <c r="LSX48" s="952"/>
      <c r="LSY48" s="952"/>
      <c r="LSZ48" s="952"/>
      <c r="LTA48" s="952"/>
      <c r="LTB48" s="952"/>
      <c r="LTC48" s="952"/>
      <c r="LTD48" s="952"/>
      <c r="LTE48" s="952"/>
      <c r="LTF48" s="952"/>
      <c r="LTG48" s="952"/>
      <c r="LTH48" s="952"/>
      <c r="LTI48" s="952"/>
      <c r="LTJ48" s="952"/>
      <c r="LTK48" s="952"/>
      <c r="LTL48" s="952"/>
      <c r="LTM48" s="952"/>
      <c r="LTN48" s="952"/>
      <c r="LTO48" s="952"/>
      <c r="LTP48" s="952"/>
      <c r="LTQ48" s="952"/>
      <c r="LTR48" s="952"/>
      <c r="LTS48" s="952"/>
      <c r="LTT48" s="952"/>
      <c r="LTU48" s="952"/>
      <c r="LTV48" s="952"/>
      <c r="LTW48" s="952"/>
      <c r="LTX48" s="952"/>
      <c r="LTY48" s="952"/>
      <c r="LTZ48" s="952"/>
      <c r="LUA48" s="952"/>
      <c r="LUB48" s="952"/>
      <c r="LUC48" s="952"/>
      <c r="LUD48" s="952"/>
      <c r="LUE48" s="952"/>
      <c r="LUF48" s="952"/>
      <c r="LUG48" s="952"/>
      <c r="LUH48" s="952"/>
      <c r="LUI48" s="952"/>
      <c r="LUJ48" s="952"/>
      <c r="LUK48" s="952"/>
      <c r="LUL48" s="952"/>
      <c r="LUM48" s="952"/>
      <c r="LUN48" s="952"/>
      <c r="LUO48" s="952"/>
      <c r="LUP48" s="952"/>
      <c r="LUQ48" s="952"/>
      <c r="LUR48" s="952"/>
      <c r="LUS48" s="952"/>
      <c r="LUT48" s="952"/>
      <c r="LUU48" s="952"/>
      <c r="LUV48" s="952"/>
      <c r="LUW48" s="952"/>
      <c r="LUX48" s="952"/>
      <c r="LUY48" s="952"/>
      <c r="LUZ48" s="952"/>
      <c r="LVA48" s="952"/>
      <c r="LVB48" s="952"/>
      <c r="LVC48" s="952"/>
      <c r="LVD48" s="952"/>
      <c r="LVE48" s="952"/>
      <c r="LVF48" s="952"/>
      <c r="LVG48" s="952"/>
      <c r="LVH48" s="952"/>
      <c r="LVI48" s="952"/>
      <c r="LVJ48" s="952"/>
      <c r="LVK48" s="952"/>
      <c r="LVL48" s="952"/>
      <c r="LVM48" s="952"/>
      <c r="LVN48" s="952"/>
      <c r="LVO48" s="952"/>
      <c r="LVP48" s="952"/>
      <c r="LVQ48" s="952"/>
      <c r="LVR48" s="952"/>
      <c r="LVS48" s="952"/>
      <c r="LVT48" s="952"/>
      <c r="LVU48" s="952"/>
      <c r="LVV48" s="952"/>
      <c r="LVW48" s="952"/>
      <c r="LVX48" s="952"/>
      <c r="LVY48" s="952"/>
      <c r="LVZ48" s="952"/>
      <c r="LWA48" s="952"/>
      <c r="LWB48" s="952"/>
      <c r="LWC48" s="952"/>
      <c r="LWD48" s="952"/>
      <c r="LWE48" s="952"/>
      <c r="LWF48" s="952"/>
      <c r="LWG48" s="952"/>
      <c r="LWH48" s="952"/>
      <c r="LWI48" s="952"/>
      <c r="LWJ48" s="952"/>
      <c r="LWK48" s="952"/>
      <c r="LWL48" s="952"/>
      <c r="LWM48" s="952"/>
      <c r="LWN48" s="952"/>
      <c r="LWO48" s="952"/>
      <c r="LWP48" s="952"/>
      <c r="LWQ48" s="952"/>
      <c r="LWR48" s="952"/>
      <c r="LWS48" s="952"/>
      <c r="LWT48" s="952"/>
      <c r="LWU48" s="952"/>
      <c r="LWV48" s="952"/>
      <c r="LWW48" s="952"/>
      <c r="LWX48" s="952"/>
      <c r="LWY48" s="952"/>
      <c r="LWZ48" s="952"/>
      <c r="LXA48" s="952"/>
      <c r="LXB48" s="952"/>
      <c r="LXC48" s="952"/>
      <c r="LXD48" s="952"/>
      <c r="LXE48" s="952"/>
      <c r="LXF48" s="952"/>
      <c r="LXG48" s="952"/>
      <c r="LXH48" s="952"/>
      <c r="LXI48" s="952"/>
      <c r="LXJ48" s="952"/>
      <c r="LXK48" s="952"/>
      <c r="LXL48" s="952"/>
      <c r="LXM48" s="952"/>
      <c r="LXN48" s="952"/>
      <c r="LXO48" s="952"/>
      <c r="LXP48" s="952"/>
      <c r="LXQ48" s="952"/>
      <c r="LXR48" s="952"/>
      <c r="LXS48" s="952"/>
      <c r="LXT48" s="952"/>
      <c r="LXU48" s="952"/>
      <c r="LXV48" s="952"/>
      <c r="LXW48" s="952"/>
      <c r="LXX48" s="952"/>
      <c r="LXY48" s="952"/>
      <c r="LXZ48" s="952"/>
      <c r="LYA48" s="952"/>
      <c r="LYB48" s="952"/>
      <c r="LYC48" s="952"/>
      <c r="LYD48" s="952"/>
      <c r="LYE48" s="952"/>
      <c r="LYF48" s="952"/>
      <c r="LYG48" s="952"/>
      <c r="LYH48" s="952"/>
      <c r="LYI48" s="952"/>
      <c r="LYJ48" s="952"/>
      <c r="LYK48" s="952"/>
      <c r="LYL48" s="952"/>
      <c r="LYM48" s="952"/>
      <c r="LYN48" s="952"/>
      <c r="LYO48" s="952"/>
      <c r="LYP48" s="952"/>
      <c r="LYQ48" s="952"/>
      <c r="LYR48" s="952"/>
      <c r="LYS48" s="952"/>
      <c r="LYT48" s="952"/>
      <c r="LYU48" s="952"/>
      <c r="LYV48" s="952"/>
      <c r="LYW48" s="952"/>
      <c r="LYX48" s="952"/>
      <c r="LYY48" s="952"/>
      <c r="LYZ48" s="952"/>
      <c r="LZA48" s="952"/>
      <c r="LZB48" s="952"/>
      <c r="LZC48" s="952"/>
      <c r="LZD48" s="952"/>
      <c r="LZE48" s="952"/>
      <c r="LZF48" s="952"/>
      <c r="LZG48" s="952"/>
      <c r="LZH48" s="952"/>
      <c r="LZI48" s="952"/>
      <c r="LZJ48" s="952"/>
      <c r="LZK48" s="952"/>
      <c r="LZL48" s="952"/>
      <c r="LZM48" s="952"/>
      <c r="LZN48" s="952"/>
      <c r="LZO48" s="952"/>
      <c r="LZP48" s="952"/>
      <c r="LZQ48" s="952"/>
      <c r="LZR48" s="952"/>
      <c r="LZS48" s="952"/>
      <c r="LZT48" s="952"/>
      <c r="LZU48" s="952"/>
      <c r="LZV48" s="952"/>
      <c r="LZW48" s="952"/>
      <c r="LZX48" s="952"/>
      <c r="LZY48" s="952"/>
      <c r="LZZ48" s="952"/>
      <c r="MAA48" s="952"/>
      <c r="MAB48" s="952"/>
      <c r="MAC48" s="952"/>
      <c r="MAD48" s="952"/>
      <c r="MAE48" s="952"/>
      <c r="MAF48" s="952"/>
      <c r="MAG48" s="952"/>
      <c r="MAH48" s="952"/>
      <c r="MAI48" s="952"/>
      <c r="MAJ48" s="952"/>
      <c r="MAK48" s="952"/>
      <c r="MAL48" s="952"/>
      <c r="MAM48" s="952"/>
      <c r="MAN48" s="952"/>
      <c r="MAO48" s="952"/>
      <c r="MAP48" s="952"/>
      <c r="MAQ48" s="952"/>
      <c r="MAR48" s="952"/>
      <c r="MAS48" s="952"/>
      <c r="MAT48" s="952"/>
      <c r="MAU48" s="952"/>
      <c r="MAV48" s="952"/>
      <c r="MAW48" s="952"/>
      <c r="MAX48" s="952"/>
      <c r="MAY48" s="952"/>
      <c r="MAZ48" s="952"/>
      <c r="MBA48" s="952"/>
      <c r="MBB48" s="952"/>
      <c r="MBC48" s="952"/>
      <c r="MBD48" s="952"/>
      <c r="MBE48" s="952"/>
      <c r="MBF48" s="952"/>
      <c r="MBG48" s="952"/>
      <c r="MBH48" s="952"/>
      <c r="MBI48" s="952"/>
      <c r="MBJ48" s="952"/>
      <c r="MBK48" s="952"/>
      <c r="MBL48" s="952"/>
      <c r="MBM48" s="952"/>
      <c r="MBN48" s="952"/>
      <c r="MBO48" s="952"/>
      <c r="MBP48" s="952"/>
      <c r="MBQ48" s="952"/>
      <c r="MBR48" s="952"/>
      <c r="MBS48" s="952"/>
      <c r="MBT48" s="952"/>
      <c r="MBU48" s="952"/>
      <c r="MBV48" s="952"/>
      <c r="MBW48" s="952"/>
      <c r="MBX48" s="952"/>
      <c r="MBY48" s="952"/>
      <c r="MBZ48" s="952"/>
      <c r="MCA48" s="952"/>
      <c r="MCB48" s="952"/>
      <c r="MCC48" s="952"/>
      <c r="MCD48" s="952"/>
      <c r="MCE48" s="952"/>
      <c r="MCF48" s="952"/>
      <c r="MCG48" s="952"/>
      <c r="MCH48" s="952"/>
      <c r="MCI48" s="952"/>
      <c r="MCJ48" s="952"/>
      <c r="MCK48" s="952"/>
      <c r="MCL48" s="952"/>
      <c r="MCM48" s="952"/>
      <c r="MCN48" s="952"/>
      <c r="MCO48" s="952"/>
      <c r="MCP48" s="952"/>
      <c r="MCQ48" s="952"/>
      <c r="MCR48" s="952"/>
      <c r="MCS48" s="952"/>
      <c r="MCT48" s="952"/>
      <c r="MCU48" s="952"/>
      <c r="MCV48" s="952"/>
      <c r="MCW48" s="952"/>
      <c r="MCX48" s="952"/>
      <c r="MCY48" s="952"/>
      <c r="MCZ48" s="952"/>
      <c r="MDA48" s="952"/>
      <c r="MDB48" s="952"/>
      <c r="MDC48" s="952"/>
      <c r="MDD48" s="952"/>
      <c r="MDE48" s="952"/>
      <c r="MDF48" s="952"/>
      <c r="MDG48" s="952"/>
      <c r="MDH48" s="952"/>
      <c r="MDI48" s="952"/>
      <c r="MDJ48" s="952"/>
      <c r="MDK48" s="952"/>
      <c r="MDL48" s="952"/>
      <c r="MDM48" s="952"/>
      <c r="MDN48" s="952"/>
      <c r="MDO48" s="952"/>
      <c r="MDP48" s="952"/>
      <c r="MDQ48" s="952"/>
      <c r="MDR48" s="952"/>
      <c r="MDS48" s="952"/>
      <c r="MDT48" s="952"/>
      <c r="MDU48" s="952"/>
      <c r="MDV48" s="952"/>
      <c r="MDW48" s="952"/>
      <c r="MDX48" s="952"/>
      <c r="MDY48" s="952"/>
      <c r="MDZ48" s="952"/>
      <c r="MEA48" s="952"/>
      <c r="MEB48" s="952"/>
      <c r="MEC48" s="952"/>
      <c r="MED48" s="952"/>
      <c r="MEE48" s="952"/>
      <c r="MEF48" s="952"/>
      <c r="MEG48" s="952"/>
      <c r="MEH48" s="952"/>
      <c r="MEI48" s="952"/>
      <c r="MEJ48" s="952"/>
      <c r="MEK48" s="952"/>
      <c r="MEL48" s="952"/>
      <c r="MEM48" s="952"/>
      <c r="MEN48" s="952"/>
      <c r="MEO48" s="952"/>
      <c r="MEP48" s="952"/>
      <c r="MEQ48" s="952"/>
      <c r="MER48" s="952"/>
      <c r="MES48" s="952"/>
      <c r="MET48" s="952"/>
      <c r="MEU48" s="952"/>
      <c r="MEV48" s="952"/>
      <c r="MEW48" s="952"/>
      <c r="MEX48" s="952"/>
      <c r="MEY48" s="952"/>
      <c r="MEZ48" s="952"/>
      <c r="MFA48" s="952"/>
      <c r="MFB48" s="952"/>
      <c r="MFC48" s="952"/>
      <c r="MFD48" s="952"/>
      <c r="MFE48" s="952"/>
      <c r="MFF48" s="952"/>
      <c r="MFG48" s="952"/>
      <c r="MFH48" s="952"/>
      <c r="MFI48" s="952"/>
      <c r="MFJ48" s="952"/>
      <c r="MFK48" s="952"/>
      <c r="MFL48" s="952"/>
      <c r="MFM48" s="952"/>
      <c r="MFN48" s="952"/>
      <c r="MFO48" s="952"/>
      <c r="MFP48" s="952"/>
      <c r="MFQ48" s="952"/>
      <c r="MFR48" s="952"/>
      <c r="MFS48" s="952"/>
      <c r="MFT48" s="952"/>
      <c r="MFU48" s="952"/>
      <c r="MFV48" s="952"/>
      <c r="MFW48" s="952"/>
      <c r="MFX48" s="952"/>
      <c r="MFY48" s="952"/>
      <c r="MFZ48" s="952"/>
      <c r="MGA48" s="952"/>
      <c r="MGB48" s="952"/>
      <c r="MGC48" s="952"/>
      <c r="MGD48" s="952"/>
      <c r="MGE48" s="952"/>
      <c r="MGF48" s="952"/>
      <c r="MGG48" s="952"/>
      <c r="MGH48" s="952"/>
      <c r="MGI48" s="952"/>
      <c r="MGJ48" s="952"/>
      <c r="MGK48" s="952"/>
      <c r="MGL48" s="952"/>
      <c r="MGM48" s="952"/>
      <c r="MGN48" s="952"/>
      <c r="MGO48" s="952"/>
      <c r="MGP48" s="952"/>
      <c r="MGQ48" s="952"/>
      <c r="MGR48" s="952"/>
      <c r="MGS48" s="952"/>
      <c r="MGT48" s="952"/>
      <c r="MGU48" s="952"/>
      <c r="MGV48" s="952"/>
      <c r="MGW48" s="952"/>
      <c r="MGX48" s="952"/>
      <c r="MGY48" s="952"/>
      <c r="MGZ48" s="952"/>
      <c r="MHA48" s="952"/>
      <c r="MHB48" s="952"/>
      <c r="MHC48" s="952"/>
      <c r="MHD48" s="952"/>
      <c r="MHE48" s="952"/>
      <c r="MHF48" s="952"/>
      <c r="MHG48" s="952"/>
      <c r="MHH48" s="952"/>
      <c r="MHI48" s="952"/>
      <c r="MHJ48" s="952"/>
      <c r="MHK48" s="952"/>
      <c r="MHL48" s="952"/>
      <c r="MHM48" s="952"/>
      <c r="MHN48" s="952"/>
      <c r="MHO48" s="952"/>
      <c r="MHP48" s="952"/>
      <c r="MHQ48" s="952"/>
      <c r="MHR48" s="952"/>
      <c r="MHS48" s="952"/>
      <c r="MHT48" s="952"/>
      <c r="MHU48" s="952"/>
      <c r="MHV48" s="952"/>
      <c r="MHW48" s="952"/>
      <c r="MHX48" s="952"/>
      <c r="MHY48" s="952"/>
      <c r="MHZ48" s="952"/>
      <c r="MIA48" s="952"/>
      <c r="MIB48" s="952"/>
      <c r="MIC48" s="952"/>
      <c r="MID48" s="952"/>
      <c r="MIE48" s="952"/>
      <c r="MIF48" s="952"/>
      <c r="MIG48" s="952"/>
      <c r="MIH48" s="952"/>
      <c r="MII48" s="952"/>
      <c r="MIJ48" s="952"/>
      <c r="MIK48" s="952"/>
      <c r="MIL48" s="952"/>
      <c r="MIM48" s="952"/>
      <c r="MIN48" s="952"/>
      <c r="MIO48" s="952"/>
      <c r="MIP48" s="952"/>
      <c r="MIQ48" s="952"/>
      <c r="MIR48" s="952"/>
      <c r="MIS48" s="952"/>
      <c r="MIT48" s="952"/>
      <c r="MIU48" s="952"/>
      <c r="MIV48" s="952"/>
      <c r="MIW48" s="952"/>
      <c r="MIX48" s="952"/>
      <c r="MIY48" s="952"/>
      <c r="MIZ48" s="952"/>
      <c r="MJA48" s="952"/>
      <c r="MJB48" s="952"/>
      <c r="MJC48" s="952"/>
      <c r="MJD48" s="952"/>
      <c r="MJE48" s="952"/>
      <c r="MJF48" s="952"/>
      <c r="MJG48" s="952"/>
      <c r="MJH48" s="952"/>
      <c r="MJI48" s="952"/>
      <c r="MJJ48" s="952"/>
      <c r="MJK48" s="952"/>
      <c r="MJL48" s="952"/>
      <c r="MJM48" s="952"/>
      <c r="MJN48" s="952"/>
      <c r="MJO48" s="952"/>
      <c r="MJP48" s="952"/>
      <c r="MJQ48" s="952"/>
      <c r="MJR48" s="952"/>
      <c r="MJS48" s="952"/>
      <c r="MJT48" s="952"/>
      <c r="MJU48" s="952"/>
      <c r="MJV48" s="952"/>
      <c r="MJW48" s="952"/>
      <c r="MJX48" s="952"/>
      <c r="MJY48" s="952"/>
      <c r="MJZ48" s="952"/>
      <c r="MKA48" s="952"/>
      <c r="MKB48" s="952"/>
      <c r="MKC48" s="952"/>
      <c r="MKD48" s="952"/>
      <c r="MKE48" s="952"/>
      <c r="MKF48" s="952"/>
      <c r="MKG48" s="952"/>
      <c r="MKH48" s="952"/>
      <c r="MKI48" s="952"/>
      <c r="MKJ48" s="952"/>
      <c r="MKK48" s="952"/>
      <c r="MKL48" s="952"/>
      <c r="MKM48" s="952"/>
      <c r="MKN48" s="952"/>
      <c r="MKO48" s="952"/>
      <c r="MKP48" s="952"/>
      <c r="MKQ48" s="952"/>
      <c r="MKR48" s="952"/>
      <c r="MKS48" s="952"/>
      <c r="MKT48" s="952"/>
      <c r="MKU48" s="952"/>
      <c r="MKV48" s="952"/>
      <c r="MKW48" s="952"/>
      <c r="MKX48" s="952"/>
      <c r="MKY48" s="952"/>
      <c r="MKZ48" s="952"/>
      <c r="MLA48" s="952"/>
      <c r="MLB48" s="952"/>
      <c r="MLC48" s="952"/>
      <c r="MLD48" s="952"/>
      <c r="MLE48" s="952"/>
      <c r="MLF48" s="952"/>
      <c r="MLG48" s="952"/>
      <c r="MLH48" s="952"/>
      <c r="MLI48" s="952"/>
      <c r="MLJ48" s="952"/>
      <c r="MLK48" s="952"/>
      <c r="MLL48" s="952"/>
      <c r="MLM48" s="952"/>
      <c r="MLN48" s="952"/>
      <c r="MLO48" s="952"/>
      <c r="MLP48" s="952"/>
      <c r="MLQ48" s="952"/>
      <c r="MLR48" s="952"/>
      <c r="MLS48" s="952"/>
      <c r="MLT48" s="952"/>
      <c r="MLU48" s="952"/>
      <c r="MLV48" s="952"/>
      <c r="MLW48" s="952"/>
      <c r="MLX48" s="952"/>
      <c r="MLY48" s="952"/>
      <c r="MLZ48" s="952"/>
      <c r="MMA48" s="952"/>
      <c r="MMB48" s="952"/>
      <c r="MMC48" s="952"/>
      <c r="MMD48" s="952"/>
      <c r="MME48" s="952"/>
      <c r="MMF48" s="952"/>
      <c r="MMG48" s="952"/>
      <c r="MMH48" s="952"/>
      <c r="MMI48" s="952"/>
      <c r="MMJ48" s="952"/>
      <c r="MMK48" s="952"/>
      <c r="MML48" s="952"/>
      <c r="MMM48" s="952"/>
      <c r="MMN48" s="952"/>
      <c r="MMO48" s="952"/>
      <c r="MMP48" s="952"/>
      <c r="MMQ48" s="952"/>
      <c r="MMR48" s="952"/>
      <c r="MMS48" s="952"/>
      <c r="MMT48" s="952"/>
      <c r="MMU48" s="952"/>
      <c r="MMV48" s="952"/>
      <c r="MMW48" s="952"/>
      <c r="MMX48" s="952"/>
      <c r="MMY48" s="952"/>
      <c r="MMZ48" s="952"/>
      <c r="MNA48" s="952"/>
      <c r="MNB48" s="952"/>
      <c r="MNC48" s="952"/>
      <c r="MND48" s="952"/>
      <c r="MNE48" s="952"/>
      <c r="MNF48" s="952"/>
      <c r="MNG48" s="952"/>
      <c r="MNH48" s="952"/>
      <c r="MNI48" s="952"/>
      <c r="MNJ48" s="952"/>
      <c r="MNK48" s="952"/>
      <c r="MNL48" s="952"/>
      <c r="MNM48" s="952"/>
      <c r="MNN48" s="952"/>
      <c r="MNO48" s="952"/>
      <c r="MNP48" s="952"/>
      <c r="MNQ48" s="952"/>
      <c r="MNR48" s="952"/>
      <c r="MNS48" s="952"/>
      <c r="MNT48" s="952"/>
      <c r="MNU48" s="952"/>
      <c r="MNV48" s="952"/>
      <c r="MNW48" s="952"/>
      <c r="MNX48" s="952"/>
      <c r="MNY48" s="952"/>
      <c r="MNZ48" s="952"/>
      <c r="MOA48" s="952"/>
      <c r="MOB48" s="952"/>
      <c r="MOC48" s="952"/>
      <c r="MOD48" s="952"/>
      <c r="MOE48" s="952"/>
      <c r="MOF48" s="952"/>
      <c r="MOG48" s="952"/>
      <c r="MOH48" s="952"/>
      <c r="MOI48" s="952"/>
      <c r="MOJ48" s="952"/>
      <c r="MOK48" s="952"/>
      <c r="MOL48" s="952"/>
      <c r="MOM48" s="952"/>
      <c r="MON48" s="952"/>
      <c r="MOO48" s="952"/>
      <c r="MOP48" s="952"/>
      <c r="MOQ48" s="952"/>
      <c r="MOR48" s="952"/>
      <c r="MOS48" s="952"/>
      <c r="MOT48" s="952"/>
      <c r="MOU48" s="952"/>
      <c r="MOV48" s="952"/>
      <c r="MOW48" s="952"/>
      <c r="MOX48" s="952"/>
      <c r="MOY48" s="952"/>
      <c r="MOZ48" s="952"/>
      <c r="MPA48" s="952"/>
      <c r="MPB48" s="952"/>
      <c r="MPC48" s="952"/>
      <c r="MPD48" s="952"/>
      <c r="MPE48" s="952"/>
      <c r="MPF48" s="952"/>
      <c r="MPG48" s="952"/>
      <c r="MPH48" s="952"/>
      <c r="MPI48" s="952"/>
      <c r="MPJ48" s="952"/>
      <c r="MPK48" s="952"/>
      <c r="MPL48" s="952"/>
      <c r="MPM48" s="952"/>
      <c r="MPN48" s="952"/>
      <c r="MPO48" s="952"/>
      <c r="MPP48" s="952"/>
      <c r="MPQ48" s="952"/>
      <c r="MPR48" s="952"/>
      <c r="MPS48" s="952"/>
      <c r="MPT48" s="952"/>
      <c r="MPU48" s="952"/>
      <c r="MPV48" s="952"/>
      <c r="MPW48" s="952"/>
      <c r="MPX48" s="952"/>
      <c r="MPY48" s="952"/>
      <c r="MPZ48" s="952"/>
      <c r="MQA48" s="952"/>
      <c r="MQB48" s="952"/>
      <c r="MQC48" s="952"/>
      <c r="MQD48" s="952"/>
      <c r="MQE48" s="952"/>
      <c r="MQF48" s="952"/>
      <c r="MQG48" s="952"/>
      <c r="MQH48" s="952"/>
      <c r="MQI48" s="952"/>
      <c r="MQJ48" s="952"/>
      <c r="MQK48" s="952"/>
      <c r="MQL48" s="952"/>
      <c r="MQM48" s="952"/>
      <c r="MQN48" s="952"/>
      <c r="MQO48" s="952"/>
      <c r="MQP48" s="952"/>
      <c r="MQQ48" s="952"/>
      <c r="MQR48" s="952"/>
      <c r="MQS48" s="952"/>
      <c r="MQT48" s="952"/>
      <c r="MQU48" s="952"/>
      <c r="MQV48" s="952"/>
      <c r="MQW48" s="952"/>
      <c r="MQX48" s="952"/>
      <c r="MQY48" s="952"/>
      <c r="MQZ48" s="952"/>
      <c r="MRA48" s="952"/>
      <c r="MRB48" s="952"/>
      <c r="MRC48" s="952"/>
      <c r="MRD48" s="952"/>
      <c r="MRE48" s="952"/>
      <c r="MRF48" s="952"/>
      <c r="MRG48" s="952"/>
      <c r="MRH48" s="952"/>
      <c r="MRI48" s="952"/>
      <c r="MRJ48" s="952"/>
      <c r="MRK48" s="952"/>
      <c r="MRL48" s="952"/>
      <c r="MRM48" s="952"/>
      <c r="MRN48" s="952"/>
      <c r="MRO48" s="952"/>
      <c r="MRP48" s="952"/>
      <c r="MRQ48" s="952"/>
      <c r="MRR48" s="952"/>
      <c r="MRS48" s="952"/>
      <c r="MRT48" s="952"/>
      <c r="MRU48" s="952"/>
      <c r="MRV48" s="952"/>
      <c r="MRW48" s="952"/>
      <c r="MRX48" s="952"/>
      <c r="MRY48" s="952"/>
      <c r="MRZ48" s="952"/>
      <c r="MSA48" s="952"/>
      <c r="MSB48" s="952"/>
      <c r="MSC48" s="952"/>
      <c r="MSD48" s="952"/>
      <c r="MSE48" s="952"/>
      <c r="MSF48" s="952"/>
      <c r="MSG48" s="952"/>
      <c r="MSH48" s="952"/>
      <c r="MSI48" s="952"/>
      <c r="MSJ48" s="952"/>
      <c r="MSK48" s="952"/>
      <c r="MSL48" s="952"/>
      <c r="MSM48" s="952"/>
      <c r="MSN48" s="952"/>
      <c r="MSO48" s="952"/>
      <c r="MSP48" s="952"/>
      <c r="MSQ48" s="952"/>
      <c r="MSR48" s="952"/>
      <c r="MSS48" s="952"/>
      <c r="MST48" s="952"/>
      <c r="MSU48" s="952"/>
      <c r="MSV48" s="952"/>
      <c r="MSW48" s="952"/>
      <c r="MSX48" s="952"/>
      <c r="MSY48" s="952"/>
      <c r="MSZ48" s="952"/>
      <c r="MTA48" s="952"/>
      <c r="MTB48" s="952"/>
      <c r="MTC48" s="952"/>
      <c r="MTD48" s="952"/>
      <c r="MTE48" s="952"/>
      <c r="MTF48" s="952"/>
      <c r="MTG48" s="952"/>
      <c r="MTH48" s="952"/>
      <c r="MTI48" s="952"/>
      <c r="MTJ48" s="952"/>
      <c r="MTK48" s="952"/>
      <c r="MTL48" s="952"/>
      <c r="MTM48" s="952"/>
      <c r="MTN48" s="952"/>
      <c r="MTO48" s="952"/>
      <c r="MTP48" s="952"/>
      <c r="MTQ48" s="952"/>
      <c r="MTR48" s="952"/>
      <c r="MTS48" s="952"/>
      <c r="MTT48" s="952"/>
      <c r="MTU48" s="952"/>
      <c r="MTV48" s="952"/>
      <c r="MTW48" s="952"/>
      <c r="MTX48" s="952"/>
      <c r="MTY48" s="952"/>
      <c r="MTZ48" s="952"/>
      <c r="MUA48" s="952"/>
      <c r="MUB48" s="952"/>
      <c r="MUC48" s="952"/>
      <c r="MUD48" s="952"/>
      <c r="MUE48" s="952"/>
      <c r="MUF48" s="952"/>
      <c r="MUG48" s="952"/>
      <c r="MUH48" s="952"/>
      <c r="MUI48" s="952"/>
      <c r="MUJ48" s="952"/>
      <c r="MUK48" s="952"/>
      <c r="MUL48" s="952"/>
      <c r="MUM48" s="952"/>
      <c r="MUN48" s="952"/>
      <c r="MUO48" s="952"/>
      <c r="MUP48" s="952"/>
      <c r="MUQ48" s="952"/>
      <c r="MUR48" s="952"/>
      <c r="MUS48" s="952"/>
      <c r="MUT48" s="952"/>
      <c r="MUU48" s="952"/>
      <c r="MUV48" s="952"/>
      <c r="MUW48" s="952"/>
      <c r="MUX48" s="952"/>
      <c r="MUY48" s="952"/>
      <c r="MUZ48" s="952"/>
      <c r="MVA48" s="952"/>
      <c r="MVB48" s="952"/>
      <c r="MVC48" s="952"/>
      <c r="MVD48" s="952"/>
      <c r="MVE48" s="952"/>
      <c r="MVF48" s="952"/>
      <c r="MVG48" s="952"/>
      <c r="MVH48" s="952"/>
      <c r="MVI48" s="952"/>
      <c r="MVJ48" s="952"/>
      <c r="MVK48" s="952"/>
      <c r="MVL48" s="952"/>
      <c r="MVM48" s="952"/>
      <c r="MVN48" s="952"/>
      <c r="MVO48" s="952"/>
      <c r="MVP48" s="952"/>
      <c r="MVQ48" s="952"/>
      <c r="MVR48" s="952"/>
      <c r="MVS48" s="952"/>
      <c r="MVT48" s="952"/>
      <c r="MVU48" s="952"/>
      <c r="MVV48" s="952"/>
      <c r="MVW48" s="952"/>
      <c r="MVX48" s="952"/>
      <c r="MVY48" s="952"/>
      <c r="MVZ48" s="952"/>
      <c r="MWA48" s="952"/>
      <c r="MWB48" s="952"/>
      <c r="MWC48" s="952"/>
      <c r="MWD48" s="952"/>
      <c r="MWE48" s="952"/>
      <c r="MWF48" s="952"/>
      <c r="MWG48" s="952"/>
      <c r="MWH48" s="952"/>
      <c r="MWI48" s="952"/>
      <c r="MWJ48" s="952"/>
      <c r="MWK48" s="952"/>
      <c r="MWL48" s="952"/>
      <c r="MWM48" s="952"/>
      <c r="MWN48" s="952"/>
      <c r="MWO48" s="952"/>
      <c r="MWP48" s="952"/>
      <c r="MWQ48" s="952"/>
      <c r="MWR48" s="952"/>
      <c r="MWS48" s="952"/>
      <c r="MWT48" s="952"/>
      <c r="MWU48" s="952"/>
      <c r="MWV48" s="952"/>
      <c r="MWW48" s="952"/>
      <c r="MWX48" s="952"/>
      <c r="MWY48" s="952"/>
      <c r="MWZ48" s="952"/>
      <c r="MXA48" s="952"/>
      <c r="MXB48" s="952"/>
      <c r="MXC48" s="952"/>
      <c r="MXD48" s="952"/>
      <c r="MXE48" s="952"/>
      <c r="MXF48" s="952"/>
      <c r="MXG48" s="952"/>
      <c r="MXH48" s="952"/>
      <c r="MXI48" s="952"/>
      <c r="MXJ48" s="952"/>
      <c r="MXK48" s="952"/>
      <c r="MXL48" s="952"/>
      <c r="MXM48" s="952"/>
      <c r="MXN48" s="952"/>
      <c r="MXO48" s="952"/>
      <c r="MXP48" s="952"/>
      <c r="MXQ48" s="952"/>
      <c r="MXR48" s="952"/>
      <c r="MXS48" s="952"/>
      <c r="MXT48" s="952"/>
      <c r="MXU48" s="952"/>
      <c r="MXV48" s="952"/>
      <c r="MXW48" s="952"/>
      <c r="MXX48" s="952"/>
      <c r="MXY48" s="952"/>
      <c r="MXZ48" s="952"/>
      <c r="MYA48" s="952"/>
      <c r="MYB48" s="952"/>
      <c r="MYC48" s="952"/>
      <c r="MYD48" s="952"/>
      <c r="MYE48" s="952"/>
      <c r="MYF48" s="952"/>
      <c r="MYG48" s="952"/>
      <c r="MYH48" s="952"/>
      <c r="MYI48" s="952"/>
      <c r="MYJ48" s="952"/>
      <c r="MYK48" s="952"/>
      <c r="MYL48" s="952"/>
      <c r="MYM48" s="952"/>
      <c r="MYN48" s="952"/>
      <c r="MYO48" s="952"/>
      <c r="MYP48" s="952"/>
      <c r="MYQ48" s="952"/>
      <c r="MYR48" s="952"/>
      <c r="MYS48" s="952"/>
      <c r="MYT48" s="952"/>
      <c r="MYU48" s="952"/>
      <c r="MYV48" s="952"/>
      <c r="MYW48" s="952"/>
      <c r="MYX48" s="952"/>
      <c r="MYY48" s="952"/>
      <c r="MYZ48" s="952"/>
      <c r="MZA48" s="952"/>
      <c r="MZB48" s="952"/>
      <c r="MZC48" s="952"/>
      <c r="MZD48" s="952"/>
      <c r="MZE48" s="952"/>
      <c r="MZF48" s="952"/>
      <c r="MZG48" s="952"/>
      <c r="MZH48" s="952"/>
      <c r="MZI48" s="952"/>
      <c r="MZJ48" s="952"/>
      <c r="MZK48" s="952"/>
      <c r="MZL48" s="952"/>
      <c r="MZM48" s="952"/>
      <c r="MZN48" s="952"/>
      <c r="MZO48" s="952"/>
      <c r="MZP48" s="952"/>
      <c r="MZQ48" s="952"/>
      <c r="MZR48" s="952"/>
      <c r="MZS48" s="952"/>
      <c r="MZT48" s="952"/>
      <c r="MZU48" s="952"/>
      <c r="MZV48" s="952"/>
      <c r="MZW48" s="952"/>
      <c r="MZX48" s="952"/>
      <c r="MZY48" s="952"/>
      <c r="MZZ48" s="952"/>
      <c r="NAA48" s="952"/>
      <c r="NAB48" s="952"/>
      <c r="NAC48" s="952"/>
      <c r="NAD48" s="952"/>
      <c r="NAE48" s="952"/>
      <c r="NAF48" s="952"/>
      <c r="NAG48" s="952"/>
      <c r="NAH48" s="952"/>
      <c r="NAI48" s="952"/>
      <c r="NAJ48" s="952"/>
      <c r="NAK48" s="952"/>
      <c r="NAL48" s="952"/>
      <c r="NAM48" s="952"/>
      <c r="NAN48" s="952"/>
      <c r="NAO48" s="952"/>
      <c r="NAP48" s="952"/>
      <c r="NAQ48" s="952"/>
      <c r="NAR48" s="952"/>
      <c r="NAS48" s="952"/>
      <c r="NAT48" s="952"/>
      <c r="NAU48" s="952"/>
      <c r="NAV48" s="952"/>
      <c r="NAW48" s="952"/>
      <c r="NAX48" s="952"/>
      <c r="NAY48" s="952"/>
      <c r="NAZ48" s="952"/>
      <c r="NBA48" s="952"/>
      <c r="NBB48" s="952"/>
      <c r="NBC48" s="952"/>
      <c r="NBD48" s="952"/>
      <c r="NBE48" s="952"/>
      <c r="NBF48" s="952"/>
      <c r="NBG48" s="952"/>
      <c r="NBH48" s="952"/>
      <c r="NBI48" s="952"/>
      <c r="NBJ48" s="952"/>
      <c r="NBK48" s="952"/>
      <c r="NBL48" s="952"/>
      <c r="NBM48" s="952"/>
      <c r="NBN48" s="952"/>
      <c r="NBO48" s="952"/>
      <c r="NBP48" s="952"/>
      <c r="NBQ48" s="952"/>
      <c r="NBR48" s="952"/>
      <c r="NBS48" s="952"/>
      <c r="NBT48" s="952"/>
      <c r="NBU48" s="952"/>
      <c r="NBV48" s="952"/>
      <c r="NBW48" s="952"/>
      <c r="NBX48" s="952"/>
      <c r="NBY48" s="952"/>
      <c r="NBZ48" s="952"/>
      <c r="NCA48" s="952"/>
      <c r="NCB48" s="952"/>
      <c r="NCC48" s="952"/>
      <c r="NCD48" s="952"/>
      <c r="NCE48" s="952"/>
      <c r="NCF48" s="952"/>
      <c r="NCG48" s="952"/>
      <c r="NCH48" s="952"/>
      <c r="NCI48" s="952"/>
      <c r="NCJ48" s="952"/>
      <c r="NCK48" s="952"/>
      <c r="NCL48" s="952"/>
      <c r="NCM48" s="952"/>
      <c r="NCN48" s="952"/>
      <c r="NCO48" s="952"/>
      <c r="NCP48" s="952"/>
      <c r="NCQ48" s="952"/>
      <c r="NCR48" s="952"/>
      <c r="NCS48" s="952"/>
      <c r="NCT48" s="952"/>
      <c r="NCU48" s="952"/>
      <c r="NCV48" s="952"/>
      <c r="NCW48" s="952"/>
      <c r="NCX48" s="952"/>
      <c r="NCY48" s="952"/>
      <c r="NCZ48" s="952"/>
      <c r="NDA48" s="952"/>
      <c r="NDB48" s="952"/>
      <c r="NDC48" s="952"/>
      <c r="NDD48" s="952"/>
      <c r="NDE48" s="952"/>
      <c r="NDF48" s="952"/>
      <c r="NDG48" s="952"/>
      <c r="NDH48" s="952"/>
      <c r="NDI48" s="952"/>
      <c r="NDJ48" s="952"/>
      <c r="NDK48" s="952"/>
      <c r="NDL48" s="952"/>
      <c r="NDM48" s="952"/>
      <c r="NDN48" s="952"/>
      <c r="NDO48" s="952"/>
      <c r="NDP48" s="952"/>
      <c r="NDQ48" s="952"/>
      <c r="NDR48" s="952"/>
      <c r="NDS48" s="952"/>
      <c r="NDT48" s="952"/>
      <c r="NDU48" s="952"/>
      <c r="NDV48" s="952"/>
      <c r="NDW48" s="952"/>
      <c r="NDX48" s="952"/>
      <c r="NDY48" s="952"/>
      <c r="NDZ48" s="952"/>
      <c r="NEA48" s="952"/>
      <c r="NEB48" s="952"/>
      <c r="NEC48" s="952"/>
      <c r="NED48" s="952"/>
      <c r="NEE48" s="952"/>
      <c r="NEF48" s="952"/>
      <c r="NEG48" s="952"/>
      <c r="NEH48" s="952"/>
      <c r="NEI48" s="952"/>
      <c r="NEJ48" s="952"/>
      <c r="NEK48" s="952"/>
      <c r="NEL48" s="952"/>
      <c r="NEM48" s="952"/>
      <c r="NEN48" s="952"/>
      <c r="NEO48" s="952"/>
      <c r="NEP48" s="952"/>
      <c r="NEQ48" s="952"/>
      <c r="NER48" s="952"/>
      <c r="NES48" s="952"/>
      <c r="NET48" s="952"/>
      <c r="NEU48" s="952"/>
      <c r="NEV48" s="952"/>
      <c r="NEW48" s="952"/>
      <c r="NEX48" s="952"/>
      <c r="NEY48" s="952"/>
      <c r="NEZ48" s="952"/>
      <c r="NFA48" s="952"/>
      <c r="NFB48" s="952"/>
      <c r="NFC48" s="952"/>
      <c r="NFD48" s="952"/>
      <c r="NFE48" s="952"/>
      <c r="NFF48" s="952"/>
      <c r="NFG48" s="952"/>
      <c r="NFH48" s="952"/>
      <c r="NFI48" s="952"/>
      <c r="NFJ48" s="952"/>
      <c r="NFK48" s="952"/>
      <c r="NFL48" s="952"/>
      <c r="NFM48" s="952"/>
      <c r="NFN48" s="952"/>
      <c r="NFO48" s="952"/>
      <c r="NFP48" s="952"/>
      <c r="NFQ48" s="952"/>
      <c r="NFR48" s="952"/>
      <c r="NFS48" s="952"/>
      <c r="NFT48" s="952"/>
      <c r="NFU48" s="952"/>
      <c r="NFV48" s="952"/>
      <c r="NFW48" s="952"/>
      <c r="NFX48" s="952"/>
      <c r="NFY48" s="952"/>
      <c r="NFZ48" s="952"/>
      <c r="NGA48" s="952"/>
      <c r="NGB48" s="952"/>
      <c r="NGC48" s="952"/>
      <c r="NGD48" s="952"/>
      <c r="NGE48" s="952"/>
      <c r="NGF48" s="952"/>
      <c r="NGG48" s="952"/>
      <c r="NGH48" s="952"/>
      <c r="NGI48" s="952"/>
      <c r="NGJ48" s="952"/>
      <c r="NGK48" s="952"/>
      <c r="NGL48" s="952"/>
      <c r="NGM48" s="952"/>
      <c r="NGN48" s="952"/>
      <c r="NGO48" s="952"/>
      <c r="NGP48" s="952"/>
      <c r="NGQ48" s="952"/>
      <c r="NGR48" s="952"/>
      <c r="NGS48" s="952"/>
      <c r="NGT48" s="952"/>
      <c r="NGU48" s="952"/>
      <c r="NGV48" s="952"/>
      <c r="NGW48" s="952"/>
      <c r="NGX48" s="952"/>
      <c r="NGY48" s="952"/>
      <c r="NGZ48" s="952"/>
      <c r="NHA48" s="952"/>
      <c r="NHB48" s="952"/>
      <c r="NHC48" s="952"/>
      <c r="NHD48" s="952"/>
      <c r="NHE48" s="952"/>
      <c r="NHF48" s="952"/>
      <c r="NHG48" s="952"/>
      <c r="NHH48" s="952"/>
      <c r="NHI48" s="952"/>
      <c r="NHJ48" s="952"/>
      <c r="NHK48" s="952"/>
      <c r="NHL48" s="952"/>
      <c r="NHM48" s="952"/>
      <c r="NHN48" s="952"/>
      <c r="NHO48" s="952"/>
      <c r="NHP48" s="952"/>
      <c r="NHQ48" s="952"/>
      <c r="NHR48" s="952"/>
      <c r="NHS48" s="952"/>
      <c r="NHT48" s="952"/>
      <c r="NHU48" s="952"/>
      <c r="NHV48" s="952"/>
      <c r="NHW48" s="952"/>
      <c r="NHX48" s="952"/>
      <c r="NHY48" s="952"/>
      <c r="NHZ48" s="952"/>
      <c r="NIA48" s="952"/>
      <c r="NIB48" s="952"/>
      <c r="NIC48" s="952"/>
      <c r="NID48" s="952"/>
      <c r="NIE48" s="952"/>
      <c r="NIF48" s="952"/>
      <c r="NIG48" s="952"/>
      <c r="NIH48" s="952"/>
      <c r="NII48" s="952"/>
      <c r="NIJ48" s="952"/>
      <c r="NIK48" s="952"/>
      <c r="NIL48" s="952"/>
      <c r="NIM48" s="952"/>
      <c r="NIN48" s="952"/>
      <c r="NIO48" s="952"/>
      <c r="NIP48" s="952"/>
      <c r="NIQ48" s="952"/>
      <c r="NIR48" s="952"/>
      <c r="NIS48" s="952"/>
      <c r="NIT48" s="952"/>
      <c r="NIU48" s="952"/>
      <c r="NIV48" s="952"/>
      <c r="NIW48" s="952"/>
      <c r="NIX48" s="952"/>
      <c r="NIY48" s="952"/>
      <c r="NIZ48" s="952"/>
      <c r="NJA48" s="952"/>
      <c r="NJB48" s="952"/>
      <c r="NJC48" s="952"/>
      <c r="NJD48" s="952"/>
      <c r="NJE48" s="952"/>
      <c r="NJF48" s="952"/>
      <c r="NJG48" s="952"/>
      <c r="NJH48" s="952"/>
      <c r="NJI48" s="952"/>
      <c r="NJJ48" s="952"/>
      <c r="NJK48" s="952"/>
      <c r="NJL48" s="952"/>
      <c r="NJM48" s="952"/>
      <c r="NJN48" s="952"/>
      <c r="NJO48" s="952"/>
      <c r="NJP48" s="952"/>
      <c r="NJQ48" s="952"/>
      <c r="NJR48" s="952"/>
      <c r="NJS48" s="952"/>
      <c r="NJT48" s="952"/>
      <c r="NJU48" s="952"/>
      <c r="NJV48" s="952"/>
      <c r="NJW48" s="952"/>
      <c r="NJX48" s="952"/>
      <c r="NJY48" s="952"/>
      <c r="NJZ48" s="952"/>
      <c r="NKA48" s="952"/>
      <c r="NKB48" s="952"/>
      <c r="NKC48" s="952"/>
      <c r="NKD48" s="952"/>
      <c r="NKE48" s="952"/>
      <c r="NKF48" s="952"/>
      <c r="NKG48" s="952"/>
      <c r="NKH48" s="952"/>
      <c r="NKI48" s="952"/>
      <c r="NKJ48" s="952"/>
      <c r="NKK48" s="952"/>
      <c r="NKL48" s="952"/>
      <c r="NKM48" s="952"/>
      <c r="NKN48" s="952"/>
      <c r="NKO48" s="952"/>
      <c r="NKP48" s="952"/>
      <c r="NKQ48" s="952"/>
      <c r="NKR48" s="952"/>
      <c r="NKS48" s="952"/>
      <c r="NKT48" s="952"/>
      <c r="NKU48" s="952"/>
      <c r="NKV48" s="952"/>
      <c r="NKW48" s="952"/>
      <c r="NKX48" s="952"/>
      <c r="NKY48" s="952"/>
      <c r="NKZ48" s="952"/>
      <c r="NLA48" s="952"/>
      <c r="NLB48" s="952"/>
      <c r="NLC48" s="952"/>
      <c r="NLD48" s="952"/>
      <c r="NLE48" s="952"/>
      <c r="NLF48" s="952"/>
      <c r="NLG48" s="952"/>
      <c r="NLH48" s="952"/>
      <c r="NLI48" s="952"/>
      <c r="NLJ48" s="952"/>
      <c r="NLK48" s="952"/>
      <c r="NLL48" s="952"/>
      <c r="NLM48" s="952"/>
      <c r="NLN48" s="952"/>
      <c r="NLO48" s="952"/>
      <c r="NLP48" s="952"/>
      <c r="NLQ48" s="952"/>
      <c r="NLR48" s="952"/>
      <c r="NLS48" s="952"/>
      <c r="NLT48" s="952"/>
      <c r="NLU48" s="952"/>
      <c r="NLV48" s="952"/>
      <c r="NLW48" s="952"/>
      <c r="NLX48" s="952"/>
      <c r="NLY48" s="952"/>
      <c r="NLZ48" s="952"/>
      <c r="NMA48" s="952"/>
      <c r="NMB48" s="952"/>
      <c r="NMC48" s="952"/>
      <c r="NMD48" s="952"/>
      <c r="NME48" s="952"/>
      <c r="NMF48" s="952"/>
      <c r="NMG48" s="952"/>
      <c r="NMH48" s="952"/>
      <c r="NMI48" s="952"/>
      <c r="NMJ48" s="952"/>
      <c r="NMK48" s="952"/>
      <c r="NML48" s="952"/>
      <c r="NMM48" s="952"/>
      <c r="NMN48" s="952"/>
      <c r="NMO48" s="952"/>
      <c r="NMP48" s="952"/>
      <c r="NMQ48" s="952"/>
      <c r="NMR48" s="952"/>
      <c r="NMS48" s="952"/>
      <c r="NMT48" s="952"/>
      <c r="NMU48" s="952"/>
      <c r="NMV48" s="952"/>
      <c r="NMW48" s="952"/>
      <c r="NMX48" s="952"/>
      <c r="NMY48" s="952"/>
      <c r="NMZ48" s="952"/>
      <c r="NNA48" s="952"/>
      <c r="NNB48" s="952"/>
      <c r="NNC48" s="952"/>
      <c r="NND48" s="952"/>
      <c r="NNE48" s="952"/>
      <c r="NNF48" s="952"/>
      <c r="NNG48" s="952"/>
      <c r="NNH48" s="952"/>
      <c r="NNI48" s="952"/>
      <c r="NNJ48" s="952"/>
      <c r="NNK48" s="952"/>
      <c r="NNL48" s="952"/>
      <c r="NNM48" s="952"/>
      <c r="NNN48" s="952"/>
      <c r="NNO48" s="952"/>
      <c r="NNP48" s="952"/>
      <c r="NNQ48" s="952"/>
      <c r="NNR48" s="952"/>
      <c r="NNS48" s="952"/>
      <c r="NNT48" s="952"/>
      <c r="NNU48" s="952"/>
      <c r="NNV48" s="952"/>
      <c r="NNW48" s="952"/>
      <c r="NNX48" s="952"/>
      <c r="NNY48" s="952"/>
      <c r="NNZ48" s="952"/>
      <c r="NOA48" s="952"/>
      <c r="NOB48" s="952"/>
      <c r="NOC48" s="952"/>
      <c r="NOD48" s="952"/>
      <c r="NOE48" s="952"/>
      <c r="NOF48" s="952"/>
      <c r="NOG48" s="952"/>
      <c r="NOH48" s="952"/>
      <c r="NOI48" s="952"/>
      <c r="NOJ48" s="952"/>
      <c r="NOK48" s="952"/>
      <c r="NOL48" s="952"/>
      <c r="NOM48" s="952"/>
      <c r="NON48" s="952"/>
      <c r="NOO48" s="952"/>
      <c r="NOP48" s="952"/>
      <c r="NOQ48" s="952"/>
      <c r="NOR48" s="952"/>
      <c r="NOS48" s="952"/>
      <c r="NOT48" s="952"/>
      <c r="NOU48" s="952"/>
      <c r="NOV48" s="952"/>
      <c r="NOW48" s="952"/>
      <c r="NOX48" s="952"/>
      <c r="NOY48" s="952"/>
      <c r="NOZ48" s="952"/>
      <c r="NPA48" s="952"/>
      <c r="NPB48" s="952"/>
      <c r="NPC48" s="952"/>
      <c r="NPD48" s="952"/>
      <c r="NPE48" s="952"/>
      <c r="NPF48" s="952"/>
      <c r="NPG48" s="952"/>
      <c r="NPH48" s="952"/>
      <c r="NPI48" s="952"/>
      <c r="NPJ48" s="952"/>
      <c r="NPK48" s="952"/>
      <c r="NPL48" s="952"/>
      <c r="NPM48" s="952"/>
      <c r="NPN48" s="952"/>
      <c r="NPO48" s="952"/>
      <c r="NPP48" s="952"/>
      <c r="NPQ48" s="952"/>
      <c r="NPR48" s="952"/>
      <c r="NPS48" s="952"/>
      <c r="NPT48" s="952"/>
      <c r="NPU48" s="952"/>
      <c r="NPV48" s="952"/>
      <c r="NPW48" s="952"/>
      <c r="NPX48" s="952"/>
      <c r="NPY48" s="952"/>
      <c r="NPZ48" s="952"/>
      <c r="NQA48" s="952"/>
      <c r="NQB48" s="952"/>
      <c r="NQC48" s="952"/>
      <c r="NQD48" s="952"/>
      <c r="NQE48" s="952"/>
      <c r="NQF48" s="952"/>
      <c r="NQG48" s="952"/>
      <c r="NQH48" s="952"/>
      <c r="NQI48" s="952"/>
      <c r="NQJ48" s="952"/>
      <c r="NQK48" s="952"/>
      <c r="NQL48" s="952"/>
      <c r="NQM48" s="952"/>
      <c r="NQN48" s="952"/>
      <c r="NQO48" s="952"/>
      <c r="NQP48" s="952"/>
      <c r="NQQ48" s="952"/>
      <c r="NQR48" s="952"/>
      <c r="NQS48" s="952"/>
      <c r="NQT48" s="952"/>
      <c r="NQU48" s="952"/>
      <c r="NQV48" s="952"/>
      <c r="NQW48" s="952"/>
      <c r="NQX48" s="952"/>
      <c r="NQY48" s="952"/>
      <c r="NQZ48" s="952"/>
      <c r="NRA48" s="952"/>
      <c r="NRB48" s="952"/>
      <c r="NRC48" s="952"/>
      <c r="NRD48" s="952"/>
      <c r="NRE48" s="952"/>
      <c r="NRF48" s="952"/>
      <c r="NRG48" s="952"/>
      <c r="NRH48" s="952"/>
      <c r="NRI48" s="952"/>
      <c r="NRJ48" s="952"/>
      <c r="NRK48" s="952"/>
      <c r="NRL48" s="952"/>
      <c r="NRM48" s="952"/>
      <c r="NRN48" s="952"/>
      <c r="NRO48" s="952"/>
      <c r="NRP48" s="952"/>
      <c r="NRQ48" s="952"/>
      <c r="NRR48" s="952"/>
      <c r="NRS48" s="952"/>
      <c r="NRT48" s="952"/>
      <c r="NRU48" s="952"/>
      <c r="NRV48" s="952"/>
      <c r="NRW48" s="952"/>
      <c r="NRX48" s="952"/>
      <c r="NRY48" s="952"/>
      <c r="NRZ48" s="952"/>
      <c r="NSA48" s="952"/>
      <c r="NSB48" s="952"/>
      <c r="NSC48" s="952"/>
      <c r="NSD48" s="952"/>
      <c r="NSE48" s="952"/>
      <c r="NSF48" s="952"/>
      <c r="NSG48" s="952"/>
      <c r="NSH48" s="952"/>
      <c r="NSI48" s="952"/>
      <c r="NSJ48" s="952"/>
      <c r="NSK48" s="952"/>
      <c r="NSL48" s="952"/>
      <c r="NSM48" s="952"/>
      <c r="NSN48" s="952"/>
      <c r="NSO48" s="952"/>
      <c r="NSP48" s="952"/>
      <c r="NSQ48" s="952"/>
      <c r="NSR48" s="952"/>
      <c r="NSS48" s="952"/>
      <c r="NST48" s="952"/>
      <c r="NSU48" s="952"/>
      <c r="NSV48" s="952"/>
      <c r="NSW48" s="952"/>
      <c r="NSX48" s="952"/>
      <c r="NSY48" s="952"/>
      <c r="NSZ48" s="952"/>
      <c r="NTA48" s="952"/>
      <c r="NTB48" s="952"/>
      <c r="NTC48" s="952"/>
      <c r="NTD48" s="952"/>
      <c r="NTE48" s="952"/>
      <c r="NTF48" s="952"/>
      <c r="NTG48" s="952"/>
      <c r="NTH48" s="952"/>
      <c r="NTI48" s="952"/>
      <c r="NTJ48" s="952"/>
      <c r="NTK48" s="952"/>
      <c r="NTL48" s="952"/>
      <c r="NTM48" s="952"/>
      <c r="NTN48" s="952"/>
      <c r="NTO48" s="952"/>
      <c r="NTP48" s="952"/>
      <c r="NTQ48" s="952"/>
      <c r="NTR48" s="952"/>
      <c r="NTS48" s="952"/>
      <c r="NTT48" s="952"/>
      <c r="NTU48" s="952"/>
      <c r="NTV48" s="952"/>
      <c r="NTW48" s="952"/>
      <c r="NTX48" s="952"/>
      <c r="NTY48" s="952"/>
      <c r="NTZ48" s="952"/>
      <c r="NUA48" s="952"/>
      <c r="NUB48" s="952"/>
      <c r="NUC48" s="952"/>
      <c r="NUD48" s="952"/>
      <c r="NUE48" s="952"/>
      <c r="NUF48" s="952"/>
      <c r="NUG48" s="952"/>
      <c r="NUH48" s="952"/>
      <c r="NUI48" s="952"/>
      <c r="NUJ48" s="952"/>
      <c r="NUK48" s="952"/>
      <c r="NUL48" s="952"/>
      <c r="NUM48" s="952"/>
      <c r="NUN48" s="952"/>
      <c r="NUO48" s="952"/>
      <c r="NUP48" s="952"/>
      <c r="NUQ48" s="952"/>
      <c r="NUR48" s="952"/>
      <c r="NUS48" s="952"/>
      <c r="NUT48" s="952"/>
      <c r="NUU48" s="952"/>
      <c r="NUV48" s="952"/>
      <c r="NUW48" s="952"/>
      <c r="NUX48" s="952"/>
      <c r="NUY48" s="952"/>
      <c r="NUZ48" s="952"/>
      <c r="NVA48" s="952"/>
      <c r="NVB48" s="952"/>
      <c r="NVC48" s="952"/>
      <c r="NVD48" s="952"/>
      <c r="NVE48" s="952"/>
      <c r="NVF48" s="952"/>
      <c r="NVG48" s="952"/>
      <c r="NVH48" s="952"/>
      <c r="NVI48" s="952"/>
      <c r="NVJ48" s="952"/>
      <c r="NVK48" s="952"/>
      <c r="NVL48" s="952"/>
      <c r="NVM48" s="952"/>
      <c r="NVN48" s="952"/>
      <c r="NVO48" s="952"/>
      <c r="NVP48" s="952"/>
      <c r="NVQ48" s="952"/>
      <c r="NVR48" s="952"/>
      <c r="NVS48" s="952"/>
      <c r="NVT48" s="952"/>
      <c r="NVU48" s="952"/>
      <c r="NVV48" s="952"/>
      <c r="NVW48" s="952"/>
      <c r="NVX48" s="952"/>
      <c r="NVY48" s="952"/>
      <c r="NVZ48" s="952"/>
      <c r="NWA48" s="952"/>
      <c r="NWB48" s="952"/>
      <c r="NWC48" s="952"/>
      <c r="NWD48" s="952"/>
      <c r="NWE48" s="952"/>
      <c r="NWF48" s="952"/>
      <c r="NWG48" s="952"/>
      <c r="NWH48" s="952"/>
      <c r="NWI48" s="952"/>
      <c r="NWJ48" s="952"/>
      <c r="NWK48" s="952"/>
      <c r="NWL48" s="952"/>
      <c r="NWM48" s="952"/>
      <c r="NWN48" s="952"/>
      <c r="NWO48" s="952"/>
      <c r="NWP48" s="952"/>
      <c r="NWQ48" s="952"/>
      <c r="NWR48" s="952"/>
      <c r="NWS48" s="952"/>
      <c r="NWT48" s="952"/>
      <c r="NWU48" s="952"/>
      <c r="NWV48" s="952"/>
      <c r="NWW48" s="952"/>
      <c r="NWX48" s="952"/>
      <c r="NWY48" s="952"/>
      <c r="NWZ48" s="952"/>
      <c r="NXA48" s="952"/>
      <c r="NXB48" s="952"/>
      <c r="NXC48" s="952"/>
      <c r="NXD48" s="952"/>
      <c r="NXE48" s="952"/>
      <c r="NXF48" s="952"/>
      <c r="NXG48" s="952"/>
      <c r="NXH48" s="952"/>
      <c r="NXI48" s="952"/>
      <c r="NXJ48" s="952"/>
      <c r="NXK48" s="952"/>
      <c r="NXL48" s="952"/>
      <c r="NXM48" s="952"/>
      <c r="NXN48" s="952"/>
      <c r="NXO48" s="952"/>
      <c r="NXP48" s="952"/>
      <c r="NXQ48" s="952"/>
      <c r="NXR48" s="952"/>
      <c r="NXS48" s="952"/>
      <c r="NXT48" s="952"/>
      <c r="NXU48" s="952"/>
      <c r="NXV48" s="952"/>
      <c r="NXW48" s="952"/>
      <c r="NXX48" s="952"/>
      <c r="NXY48" s="952"/>
      <c r="NXZ48" s="952"/>
      <c r="NYA48" s="952"/>
      <c r="NYB48" s="952"/>
      <c r="NYC48" s="952"/>
      <c r="NYD48" s="952"/>
      <c r="NYE48" s="952"/>
      <c r="NYF48" s="952"/>
      <c r="NYG48" s="952"/>
      <c r="NYH48" s="952"/>
      <c r="NYI48" s="952"/>
      <c r="NYJ48" s="952"/>
      <c r="NYK48" s="952"/>
      <c r="NYL48" s="952"/>
      <c r="NYM48" s="952"/>
      <c r="NYN48" s="952"/>
      <c r="NYO48" s="952"/>
      <c r="NYP48" s="952"/>
      <c r="NYQ48" s="952"/>
      <c r="NYR48" s="952"/>
      <c r="NYS48" s="952"/>
      <c r="NYT48" s="952"/>
      <c r="NYU48" s="952"/>
      <c r="NYV48" s="952"/>
      <c r="NYW48" s="952"/>
      <c r="NYX48" s="952"/>
      <c r="NYY48" s="952"/>
      <c r="NYZ48" s="952"/>
      <c r="NZA48" s="952"/>
      <c r="NZB48" s="952"/>
      <c r="NZC48" s="952"/>
      <c r="NZD48" s="952"/>
      <c r="NZE48" s="952"/>
      <c r="NZF48" s="952"/>
      <c r="NZG48" s="952"/>
      <c r="NZH48" s="952"/>
      <c r="NZI48" s="952"/>
      <c r="NZJ48" s="952"/>
      <c r="NZK48" s="952"/>
      <c r="NZL48" s="952"/>
      <c r="NZM48" s="952"/>
      <c r="NZN48" s="952"/>
      <c r="NZO48" s="952"/>
      <c r="NZP48" s="952"/>
      <c r="NZQ48" s="952"/>
      <c r="NZR48" s="952"/>
      <c r="NZS48" s="952"/>
      <c r="NZT48" s="952"/>
      <c r="NZU48" s="952"/>
      <c r="NZV48" s="952"/>
      <c r="NZW48" s="952"/>
      <c r="NZX48" s="952"/>
      <c r="NZY48" s="952"/>
      <c r="NZZ48" s="952"/>
      <c r="OAA48" s="952"/>
      <c r="OAB48" s="952"/>
      <c r="OAC48" s="952"/>
      <c r="OAD48" s="952"/>
      <c r="OAE48" s="952"/>
      <c r="OAF48" s="952"/>
      <c r="OAG48" s="952"/>
      <c r="OAH48" s="952"/>
      <c r="OAI48" s="952"/>
      <c r="OAJ48" s="952"/>
      <c r="OAK48" s="952"/>
      <c r="OAL48" s="952"/>
      <c r="OAM48" s="952"/>
      <c r="OAN48" s="952"/>
      <c r="OAO48" s="952"/>
      <c r="OAP48" s="952"/>
      <c r="OAQ48" s="952"/>
      <c r="OAR48" s="952"/>
      <c r="OAS48" s="952"/>
      <c r="OAT48" s="952"/>
      <c r="OAU48" s="952"/>
      <c r="OAV48" s="952"/>
      <c r="OAW48" s="952"/>
      <c r="OAX48" s="952"/>
      <c r="OAY48" s="952"/>
      <c r="OAZ48" s="952"/>
      <c r="OBA48" s="952"/>
      <c r="OBB48" s="952"/>
      <c r="OBC48" s="952"/>
      <c r="OBD48" s="952"/>
      <c r="OBE48" s="952"/>
      <c r="OBF48" s="952"/>
      <c r="OBG48" s="952"/>
      <c r="OBH48" s="952"/>
      <c r="OBI48" s="952"/>
      <c r="OBJ48" s="952"/>
      <c r="OBK48" s="952"/>
      <c r="OBL48" s="952"/>
      <c r="OBM48" s="952"/>
      <c r="OBN48" s="952"/>
      <c r="OBO48" s="952"/>
      <c r="OBP48" s="952"/>
      <c r="OBQ48" s="952"/>
      <c r="OBR48" s="952"/>
      <c r="OBS48" s="952"/>
      <c r="OBT48" s="952"/>
      <c r="OBU48" s="952"/>
      <c r="OBV48" s="952"/>
      <c r="OBW48" s="952"/>
      <c r="OBX48" s="952"/>
      <c r="OBY48" s="952"/>
      <c r="OBZ48" s="952"/>
      <c r="OCA48" s="952"/>
      <c r="OCB48" s="952"/>
      <c r="OCC48" s="952"/>
      <c r="OCD48" s="952"/>
      <c r="OCE48" s="952"/>
      <c r="OCF48" s="952"/>
      <c r="OCG48" s="952"/>
      <c r="OCH48" s="952"/>
      <c r="OCI48" s="952"/>
      <c r="OCJ48" s="952"/>
      <c r="OCK48" s="952"/>
      <c r="OCL48" s="952"/>
      <c r="OCM48" s="952"/>
      <c r="OCN48" s="952"/>
      <c r="OCO48" s="952"/>
      <c r="OCP48" s="952"/>
      <c r="OCQ48" s="952"/>
      <c r="OCR48" s="952"/>
      <c r="OCS48" s="952"/>
      <c r="OCT48" s="952"/>
      <c r="OCU48" s="952"/>
      <c r="OCV48" s="952"/>
      <c r="OCW48" s="952"/>
      <c r="OCX48" s="952"/>
      <c r="OCY48" s="952"/>
      <c r="OCZ48" s="952"/>
      <c r="ODA48" s="952"/>
      <c r="ODB48" s="952"/>
      <c r="ODC48" s="952"/>
      <c r="ODD48" s="952"/>
      <c r="ODE48" s="952"/>
      <c r="ODF48" s="952"/>
      <c r="ODG48" s="952"/>
      <c r="ODH48" s="952"/>
      <c r="ODI48" s="952"/>
      <c r="ODJ48" s="952"/>
      <c r="ODK48" s="952"/>
      <c r="ODL48" s="952"/>
      <c r="ODM48" s="952"/>
      <c r="ODN48" s="952"/>
      <c r="ODO48" s="952"/>
      <c r="ODP48" s="952"/>
      <c r="ODQ48" s="952"/>
      <c r="ODR48" s="952"/>
      <c r="ODS48" s="952"/>
      <c r="ODT48" s="952"/>
      <c r="ODU48" s="952"/>
      <c r="ODV48" s="952"/>
      <c r="ODW48" s="952"/>
      <c r="ODX48" s="952"/>
      <c r="ODY48" s="952"/>
      <c r="ODZ48" s="952"/>
      <c r="OEA48" s="952"/>
      <c r="OEB48" s="952"/>
      <c r="OEC48" s="952"/>
      <c r="OED48" s="952"/>
      <c r="OEE48" s="952"/>
      <c r="OEF48" s="952"/>
      <c r="OEG48" s="952"/>
      <c r="OEH48" s="952"/>
      <c r="OEI48" s="952"/>
      <c r="OEJ48" s="952"/>
      <c r="OEK48" s="952"/>
      <c r="OEL48" s="952"/>
      <c r="OEM48" s="952"/>
      <c r="OEN48" s="952"/>
      <c r="OEO48" s="952"/>
      <c r="OEP48" s="952"/>
      <c r="OEQ48" s="952"/>
      <c r="OER48" s="952"/>
      <c r="OES48" s="952"/>
      <c r="OET48" s="952"/>
      <c r="OEU48" s="952"/>
      <c r="OEV48" s="952"/>
      <c r="OEW48" s="952"/>
      <c r="OEX48" s="952"/>
      <c r="OEY48" s="952"/>
      <c r="OEZ48" s="952"/>
      <c r="OFA48" s="952"/>
      <c r="OFB48" s="952"/>
      <c r="OFC48" s="952"/>
      <c r="OFD48" s="952"/>
      <c r="OFE48" s="952"/>
      <c r="OFF48" s="952"/>
      <c r="OFG48" s="952"/>
      <c r="OFH48" s="952"/>
      <c r="OFI48" s="952"/>
      <c r="OFJ48" s="952"/>
      <c r="OFK48" s="952"/>
      <c r="OFL48" s="952"/>
      <c r="OFM48" s="952"/>
      <c r="OFN48" s="952"/>
      <c r="OFO48" s="952"/>
      <c r="OFP48" s="952"/>
      <c r="OFQ48" s="952"/>
      <c r="OFR48" s="952"/>
      <c r="OFS48" s="952"/>
      <c r="OFT48" s="952"/>
      <c r="OFU48" s="952"/>
      <c r="OFV48" s="952"/>
      <c r="OFW48" s="952"/>
      <c r="OFX48" s="952"/>
      <c r="OFY48" s="952"/>
      <c r="OFZ48" s="952"/>
      <c r="OGA48" s="952"/>
      <c r="OGB48" s="952"/>
      <c r="OGC48" s="952"/>
      <c r="OGD48" s="952"/>
      <c r="OGE48" s="952"/>
      <c r="OGF48" s="952"/>
      <c r="OGG48" s="952"/>
      <c r="OGH48" s="952"/>
      <c r="OGI48" s="952"/>
      <c r="OGJ48" s="952"/>
      <c r="OGK48" s="952"/>
      <c r="OGL48" s="952"/>
      <c r="OGM48" s="952"/>
      <c r="OGN48" s="952"/>
      <c r="OGO48" s="952"/>
      <c r="OGP48" s="952"/>
      <c r="OGQ48" s="952"/>
      <c r="OGR48" s="952"/>
      <c r="OGS48" s="952"/>
      <c r="OGT48" s="952"/>
      <c r="OGU48" s="952"/>
      <c r="OGV48" s="952"/>
      <c r="OGW48" s="952"/>
      <c r="OGX48" s="952"/>
      <c r="OGY48" s="952"/>
      <c r="OGZ48" s="952"/>
      <c r="OHA48" s="952"/>
      <c r="OHB48" s="952"/>
      <c r="OHC48" s="952"/>
      <c r="OHD48" s="952"/>
      <c r="OHE48" s="952"/>
      <c r="OHF48" s="952"/>
      <c r="OHG48" s="952"/>
      <c r="OHH48" s="952"/>
      <c r="OHI48" s="952"/>
      <c r="OHJ48" s="952"/>
      <c r="OHK48" s="952"/>
      <c r="OHL48" s="952"/>
      <c r="OHM48" s="952"/>
      <c r="OHN48" s="952"/>
      <c r="OHO48" s="952"/>
      <c r="OHP48" s="952"/>
      <c r="OHQ48" s="952"/>
      <c r="OHR48" s="952"/>
      <c r="OHS48" s="952"/>
      <c r="OHT48" s="952"/>
      <c r="OHU48" s="952"/>
      <c r="OHV48" s="952"/>
      <c r="OHW48" s="952"/>
      <c r="OHX48" s="952"/>
      <c r="OHY48" s="952"/>
      <c r="OHZ48" s="952"/>
      <c r="OIA48" s="952"/>
      <c r="OIB48" s="952"/>
      <c r="OIC48" s="952"/>
      <c r="OID48" s="952"/>
      <c r="OIE48" s="952"/>
      <c r="OIF48" s="952"/>
      <c r="OIG48" s="952"/>
      <c r="OIH48" s="952"/>
      <c r="OII48" s="952"/>
      <c r="OIJ48" s="952"/>
      <c r="OIK48" s="952"/>
      <c r="OIL48" s="952"/>
      <c r="OIM48" s="952"/>
      <c r="OIN48" s="952"/>
      <c r="OIO48" s="952"/>
      <c r="OIP48" s="952"/>
      <c r="OIQ48" s="952"/>
      <c r="OIR48" s="952"/>
      <c r="OIS48" s="952"/>
      <c r="OIT48" s="952"/>
      <c r="OIU48" s="952"/>
      <c r="OIV48" s="952"/>
      <c r="OIW48" s="952"/>
      <c r="OIX48" s="952"/>
      <c r="OIY48" s="952"/>
      <c r="OIZ48" s="952"/>
      <c r="OJA48" s="952"/>
      <c r="OJB48" s="952"/>
      <c r="OJC48" s="952"/>
      <c r="OJD48" s="952"/>
      <c r="OJE48" s="952"/>
      <c r="OJF48" s="952"/>
      <c r="OJG48" s="952"/>
      <c r="OJH48" s="952"/>
      <c r="OJI48" s="952"/>
      <c r="OJJ48" s="952"/>
      <c r="OJK48" s="952"/>
      <c r="OJL48" s="952"/>
      <c r="OJM48" s="952"/>
      <c r="OJN48" s="952"/>
      <c r="OJO48" s="952"/>
      <c r="OJP48" s="952"/>
      <c r="OJQ48" s="952"/>
      <c r="OJR48" s="952"/>
      <c r="OJS48" s="952"/>
      <c r="OJT48" s="952"/>
      <c r="OJU48" s="952"/>
      <c r="OJV48" s="952"/>
      <c r="OJW48" s="952"/>
      <c r="OJX48" s="952"/>
      <c r="OJY48" s="952"/>
      <c r="OJZ48" s="952"/>
      <c r="OKA48" s="952"/>
      <c r="OKB48" s="952"/>
      <c r="OKC48" s="952"/>
      <c r="OKD48" s="952"/>
      <c r="OKE48" s="952"/>
      <c r="OKF48" s="952"/>
      <c r="OKG48" s="952"/>
      <c r="OKH48" s="952"/>
      <c r="OKI48" s="952"/>
      <c r="OKJ48" s="952"/>
      <c r="OKK48" s="952"/>
      <c r="OKL48" s="952"/>
      <c r="OKM48" s="952"/>
      <c r="OKN48" s="952"/>
      <c r="OKO48" s="952"/>
      <c r="OKP48" s="952"/>
      <c r="OKQ48" s="952"/>
      <c r="OKR48" s="952"/>
      <c r="OKS48" s="952"/>
      <c r="OKT48" s="952"/>
      <c r="OKU48" s="952"/>
      <c r="OKV48" s="952"/>
      <c r="OKW48" s="952"/>
      <c r="OKX48" s="952"/>
      <c r="OKY48" s="952"/>
      <c r="OKZ48" s="952"/>
      <c r="OLA48" s="952"/>
      <c r="OLB48" s="952"/>
      <c r="OLC48" s="952"/>
      <c r="OLD48" s="952"/>
      <c r="OLE48" s="952"/>
      <c r="OLF48" s="952"/>
      <c r="OLG48" s="952"/>
      <c r="OLH48" s="952"/>
      <c r="OLI48" s="952"/>
      <c r="OLJ48" s="952"/>
      <c r="OLK48" s="952"/>
      <c r="OLL48" s="952"/>
      <c r="OLM48" s="952"/>
      <c r="OLN48" s="952"/>
      <c r="OLO48" s="952"/>
      <c r="OLP48" s="952"/>
      <c r="OLQ48" s="952"/>
      <c r="OLR48" s="952"/>
      <c r="OLS48" s="952"/>
      <c r="OLT48" s="952"/>
      <c r="OLU48" s="952"/>
      <c r="OLV48" s="952"/>
      <c r="OLW48" s="952"/>
      <c r="OLX48" s="952"/>
      <c r="OLY48" s="952"/>
      <c r="OLZ48" s="952"/>
      <c r="OMA48" s="952"/>
      <c r="OMB48" s="952"/>
      <c r="OMC48" s="952"/>
      <c r="OMD48" s="952"/>
      <c r="OME48" s="952"/>
      <c r="OMF48" s="952"/>
      <c r="OMG48" s="952"/>
      <c r="OMH48" s="952"/>
      <c r="OMI48" s="952"/>
      <c r="OMJ48" s="952"/>
      <c r="OMK48" s="952"/>
      <c r="OML48" s="952"/>
      <c r="OMM48" s="952"/>
      <c r="OMN48" s="952"/>
      <c r="OMO48" s="952"/>
      <c r="OMP48" s="952"/>
      <c r="OMQ48" s="952"/>
      <c r="OMR48" s="952"/>
      <c r="OMS48" s="952"/>
      <c r="OMT48" s="952"/>
      <c r="OMU48" s="952"/>
      <c r="OMV48" s="952"/>
      <c r="OMW48" s="952"/>
      <c r="OMX48" s="952"/>
      <c r="OMY48" s="952"/>
      <c r="OMZ48" s="952"/>
      <c r="ONA48" s="952"/>
      <c r="ONB48" s="952"/>
      <c r="ONC48" s="952"/>
      <c r="OND48" s="952"/>
      <c r="ONE48" s="952"/>
      <c r="ONF48" s="952"/>
      <c r="ONG48" s="952"/>
      <c r="ONH48" s="952"/>
      <c r="ONI48" s="952"/>
      <c r="ONJ48" s="952"/>
      <c r="ONK48" s="952"/>
      <c r="ONL48" s="952"/>
      <c r="ONM48" s="952"/>
      <c r="ONN48" s="952"/>
      <c r="ONO48" s="952"/>
      <c r="ONP48" s="952"/>
      <c r="ONQ48" s="952"/>
      <c r="ONR48" s="952"/>
      <c r="ONS48" s="952"/>
      <c r="ONT48" s="952"/>
      <c r="ONU48" s="952"/>
      <c r="ONV48" s="952"/>
      <c r="ONW48" s="952"/>
      <c r="ONX48" s="952"/>
      <c r="ONY48" s="952"/>
      <c r="ONZ48" s="952"/>
      <c r="OOA48" s="952"/>
      <c r="OOB48" s="952"/>
      <c r="OOC48" s="952"/>
      <c r="OOD48" s="952"/>
      <c r="OOE48" s="952"/>
      <c r="OOF48" s="952"/>
      <c r="OOG48" s="952"/>
      <c r="OOH48" s="952"/>
      <c r="OOI48" s="952"/>
      <c r="OOJ48" s="952"/>
      <c r="OOK48" s="952"/>
      <c r="OOL48" s="952"/>
      <c r="OOM48" s="952"/>
      <c r="OON48" s="952"/>
      <c r="OOO48" s="952"/>
      <c r="OOP48" s="952"/>
      <c r="OOQ48" s="952"/>
      <c r="OOR48" s="952"/>
      <c r="OOS48" s="952"/>
      <c r="OOT48" s="952"/>
      <c r="OOU48" s="952"/>
      <c r="OOV48" s="952"/>
      <c r="OOW48" s="952"/>
      <c r="OOX48" s="952"/>
      <c r="OOY48" s="952"/>
      <c r="OOZ48" s="952"/>
      <c r="OPA48" s="952"/>
      <c r="OPB48" s="952"/>
      <c r="OPC48" s="952"/>
      <c r="OPD48" s="952"/>
      <c r="OPE48" s="952"/>
      <c r="OPF48" s="952"/>
      <c r="OPG48" s="952"/>
      <c r="OPH48" s="952"/>
      <c r="OPI48" s="952"/>
      <c r="OPJ48" s="952"/>
      <c r="OPK48" s="952"/>
      <c r="OPL48" s="952"/>
      <c r="OPM48" s="952"/>
      <c r="OPN48" s="952"/>
      <c r="OPO48" s="952"/>
      <c r="OPP48" s="952"/>
      <c r="OPQ48" s="952"/>
      <c r="OPR48" s="952"/>
      <c r="OPS48" s="952"/>
      <c r="OPT48" s="952"/>
      <c r="OPU48" s="952"/>
      <c r="OPV48" s="952"/>
      <c r="OPW48" s="952"/>
      <c r="OPX48" s="952"/>
      <c r="OPY48" s="952"/>
      <c r="OPZ48" s="952"/>
      <c r="OQA48" s="952"/>
      <c r="OQB48" s="952"/>
      <c r="OQC48" s="952"/>
      <c r="OQD48" s="952"/>
      <c r="OQE48" s="952"/>
      <c r="OQF48" s="952"/>
      <c r="OQG48" s="952"/>
      <c r="OQH48" s="952"/>
      <c r="OQI48" s="952"/>
      <c r="OQJ48" s="952"/>
      <c r="OQK48" s="952"/>
      <c r="OQL48" s="952"/>
      <c r="OQM48" s="952"/>
      <c r="OQN48" s="952"/>
      <c r="OQO48" s="952"/>
      <c r="OQP48" s="952"/>
      <c r="OQQ48" s="952"/>
      <c r="OQR48" s="952"/>
      <c r="OQS48" s="952"/>
      <c r="OQT48" s="952"/>
      <c r="OQU48" s="952"/>
      <c r="OQV48" s="952"/>
      <c r="OQW48" s="952"/>
      <c r="OQX48" s="952"/>
      <c r="OQY48" s="952"/>
      <c r="OQZ48" s="952"/>
      <c r="ORA48" s="952"/>
      <c r="ORB48" s="952"/>
      <c r="ORC48" s="952"/>
      <c r="ORD48" s="952"/>
      <c r="ORE48" s="952"/>
      <c r="ORF48" s="952"/>
      <c r="ORG48" s="952"/>
      <c r="ORH48" s="952"/>
      <c r="ORI48" s="952"/>
      <c r="ORJ48" s="952"/>
      <c r="ORK48" s="952"/>
      <c r="ORL48" s="952"/>
      <c r="ORM48" s="952"/>
      <c r="ORN48" s="952"/>
      <c r="ORO48" s="952"/>
      <c r="ORP48" s="952"/>
      <c r="ORQ48" s="952"/>
      <c r="ORR48" s="952"/>
      <c r="ORS48" s="952"/>
      <c r="ORT48" s="952"/>
      <c r="ORU48" s="952"/>
      <c r="ORV48" s="952"/>
      <c r="ORW48" s="952"/>
      <c r="ORX48" s="952"/>
      <c r="ORY48" s="952"/>
      <c r="ORZ48" s="952"/>
      <c r="OSA48" s="952"/>
      <c r="OSB48" s="952"/>
      <c r="OSC48" s="952"/>
      <c r="OSD48" s="952"/>
      <c r="OSE48" s="952"/>
      <c r="OSF48" s="952"/>
      <c r="OSG48" s="952"/>
      <c r="OSH48" s="952"/>
      <c r="OSI48" s="952"/>
      <c r="OSJ48" s="952"/>
      <c r="OSK48" s="952"/>
      <c r="OSL48" s="952"/>
      <c r="OSM48" s="952"/>
      <c r="OSN48" s="952"/>
      <c r="OSO48" s="952"/>
      <c r="OSP48" s="952"/>
      <c r="OSQ48" s="952"/>
      <c r="OSR48" s="952"/>
      <c r="OSS48" s="952"/>
      <c r="OST48" s="952"/>
      <c r="OSU48" s="952"/>
      <c r="OSV48" s="952"/>
      <c r="OSW48" s="952"/>
      <c r="OSX48" s="952"/>
      <c r="OSY48" s="952"/>
      <c r="OSZ48" s="952"/>
      <c r="OTA48" s="952"/>
      <c r="OTB48" s="952"/>
      <c r="OTC48" s="952"/>
      <c r="OTD48" s="952"/>
      <c r="OTE48" s="952"/>
      <c r="OTF48" s="952"/>
      <c r="OTG48" s="952"/>
      <c r="OTH48" s="952"/>
      <c r="OTI48" s="952"/>
      <c r="OTJ48" s="952"/>
      <c r="OTK48" s="952"/>
      <c r="OTL48" s="952"/>
      <c r="OTM48" s="952"/>
      <c r="OTN48" s="952"/>
      <c r="OTO48" s="952"/>
      <c r="OTP48" s="952"/>
      <c r="OTQ48" s="952"/>
      <c r="OTR48" s="952"/>
      <c r="OTS48" s="952"/>
      <c r="OTT48" s="952"/>
      <c r="OTU48" s="952"/>
      <c r="OTV48" s="952"/>
      <c r="OTW48" s="952"/>
      <c r="OTX48" s="952"/>
      <c r="OTY48" s="952"/>
      <c r="OTZ48" s="952"/>
      <c r="OUA48" s="952"/>
      <c r="OUB48" s="952"/>
      <c r="OUC48" s="952"/>
      <c r="OUD48" s="952"/>
      <c r="OUE48" s="952"/>
      <c r="OUF48" s="952"/>
      <c r="OUG48" s="952"/>
      <c r="OUH48" s="952"/>
      <c r="OUI48" s="952"/>
      <c r="OUJ48" s="952"/>
      <c r="OUK48" s="952"/>
      <c r="OUL48" s="952"/>
      <c r="OUM48" s="952"/>
      <c r="OUN48" s="952"/>
      <c r="OUO48" s="952"/>
      <c r="OUP48" s="952"/>
      <c r="OUQ48" s="952"/>
      <c r="OUR48" s="952"/>
      <c r="OUS48" s="952"/>
      <c r="OUT48" s="952"/>
      <c r="OUU48" s="952"/>
      <c r="OUV48" s="952"/>
      <c r="OUW48" s="952"/>
      <c r="OUX48" s="952"/>
      <c r="OUY48" s="952"/>
      <c r="OUZ48" s="952"/>
      <c r="OVA48" s="952"/>
      <c r="OVB48" s="952"/>
      <c r="OVC48" s="952"/>
      <c r="OVD48" s="952"/>
      <c r="OVE48" s="952"/>
      <c r="OVF48" s="952"/>
      <c r="OVG48" s="952"/>
      <c r="OVH48" s="952"/>
      <c r="OVI48" s="952"/>
      <c r="OVJ48" s="952"/>
      <c r="OVK48" s="952"/>
      <c r="OVL48" s="952"/>
      <c r="OVM48" s="952"/>
      <c r="OVN48" s="952"/>
      <c r="OVO48" s="952"/>
      <c r="OVP48" s="952"/>
      <c r="OVQ48" s="952"/>
      <c r="OVR48" s="952"/>
      <c r="OVS48" s="952"/>
      <c r="OVT48" s="952"/>
      <c r="OVU48" s="952"/>
      <c r="OVV48" s="952"/>
      <c r="OVW48" s="952"/>
      <c r="OVX48" s="952"/>
      <c r="OVY48" s="952"/>
      <c r="OVZ48" s="952"/>
      <c r="OWA48" s="952"/>
      <c r="OWB48" s="952"/>
      <c r="OWC48" s="952"/>
      <c r="OWD48" s="952"/>
      <c r="OWE48" s="952"/>
      <c r="OWF48" s="952"/>
      <c r="OWG48" s="952"/>
      <c r="OWH48" s="952"/>
      <c r="OWI48" s="952"/>
      <c r="OWJ48" s="952"/>
      <c r="OWK48" s="952"/>
      <c r="OWL48" s="952"/>
      <c r="OWM48" s="952"/>
      <c r="OWN48" s="952"/>
      <c r="OWO48" s="952"/>
      <c r="OWP48" s="952"/>
      <c r="OWQ48" s="952"/>
      <c r="OWR48" s="952"/>
      <c r="OWS48" s="952"/>
      <c r="OWT48" s="952"/>
      <c r="OWU48" s="952"/>
      <c r="OWV48" s="952"/>
      <c r="OWW48" s="952"/>
      <c r="OWX48" s="952"/>
      <c r="OWY48" s="952"/>
      <c r="OWZ48" s="952"/>
      <c r="OXA48" s="952"/>
      <c r="OXB48" s="952"/>
      <c r="OXC48" s="952"/>
      <c r="OXD48" s="952"/>
      <c r="OXE48" s="952"/>
      <c r="OXF48" s="952"/>
      <c r="OXG48" s="952"/>
      <c r="OXH48" s="952"/>
      <c r="OXI48" s="952"/>
      <c r="OXJ48" s="952"/>
      <c r="OXK48" s="952"/>
      <c r="OXL48" s="952"/>
      <c r="OXM48" s="952"/>
      <c r="OXN48" s="952"/>
      <c r="OXO48" s="952"/>
      <c r="OXP48" s="952"/>
      <c r="OXQ48" s="952"/>
      <c r="OXR48" s="952"/>
      <c r="OXS48" s="952"/>
      <c r="OXT48" s="952"/>
      <c r="OXU48" s="952"/>
      <c r="OXV48" s="952"/>
      <c r="OXW48" s="952"/>
      <c r="OXX48" s="952"/>
      <c r="OXY48" s="952"/>
      <c r="OXZ48" s="952"/>
      <c r="OYA48" s="952"/>
      <c r="OYB48" s="952"/>
      <c r="OYC48" s="952"/>
      <c r="OYD48" s="952"/>
      <c r="OYE48" s="952"/>
      <c r="OYF48" s="952"/>
      <c r="OYG48" s="952"/>
      <c r="OYH48" s="952"/>
      <c r="OYI48" s="952"/>
      <c r="OYJ48" s="952"/>
      <c r="OYK48" s="952"/>
      <c r="OYL48" s="952"/>
      <c r="OYM48" s="952"/>
      <c r="OYN48" s="952"/>
      <c r="OYO48" s="952"/>
      <c r="OYP48" s="952"/>
      <c r="OYQ48" s="952"/>
      <c r="OYR48" s="952"/>
      <c r="OYS48" s="952"/>
      <c r="OYT48" s="952"/>
      <c r="OYU48" s="952"/>
      <c r="OYV48" s="952"/>
      <c r="OYW48" s="952"/>
      <c r="OYX48" s="952"/>
      <c r="OYY48" s="952"/>
      <c r="OYZ48" s="952"/>
      <c r="OZA48" s="952"/>
      <c r="OZB48" s="952"/>
      <c r="OZC48" s="952"/>
      <c r="OZD48" s="952"/>
      <c r="OZE48" s="952"/>
      <c r="OZF48" s="952"/>
      <c r="OZG48" s="952"/>
      <c r="OZH48" s="952"/>
      <c r="OZI48" s="952"/>
      <c r="OZJ48" s="952"/>
      <c r="OZK48" s="952"/>
      <c r="OZL48" s="952"/>
      <c r="OZM48" s="952"/>
      <c r="OZN48" s="952"/>
      <c r="OZO48" s="952"/>
      <c r="OZP48" s="952"/>
      <c r="OZQ48" s="952"/>
      <c r="OZR48" s="952"/>
      <c r="OZS48" s="952"/>
      <c r="OZT48" s="952"/>
      <c r="OZU48" s="952"/>
      <c r="OZV48" s="952"/>
      <c r="OZW48" s="952"/>
      <c r="OZX48" s="952"/>
      <c r="OZY48" s="952"/>
      <c r="OZZ48" s="952"/>
      <c r="PAA48" s="952"/>
      <c r="PAB48" s="952"/>
      <c r="PAC48" s="952"/>
      <c r="PAD48" s="952"/>
      <c r="PAE48" s="952"/>
      <c r="PAF48" s="952"/>
      <c r="PAG48" s="952"/>
      <c r="PAH48" s="952"/>
      <c r="PAI48" s="952"/>
      <c r="PAJ48" s="952"/>
      <c r="PAK48" s="952"/>
      <c r="PAL48" s="952"/>
      <c r="PAM48" s="952"/>
      <c r="PAN48" s="952"/>
      <c r="PAO48" s="952"/>
      <c r="PAP48" s="952"/>
      <c r="PAQ48" s="952"/>
      <c r="PAR48" s="952"/>
      <c r="PAS48" s="952"/>
      <c r="PAT48" s="952"/>
      <c r="PAU48" s="952"/>
      <c r="PAV48" s="952"/>
      <c r="PAW48" s="952"/>
      <c r="PAX48" s="952"/>
      <c r="PAY48" s="952"/>
      <c r="PAZ48" s="952"/>
      <c r="PBA48" s="952"/>
      <c r="PBB48" s="952"/>
      <c r="PBC48" s="952"/>
      <c r="PBD48" s="952"/>
      <c r="PBE48" s="952"/>
      <c r="PBF48" s="952"/>
      <c r="PBG48" s="952"/>
      <c r="PBH48" s="952"/>
      <c r="PBI48" s="952"/>
      <c r="PBJ48" s="952"/>
      <c r="PBK48" s="952"/>
      <c r="PBL48" s="952"/>
      <c r="PBM48" s="952"/>
      <c r="PBN48" s="952"/>
      <c r="PBO48" s="952"/>
      <c r="PBP48" s="952"/>
      <c r="PBQ48" s="952"/>
      <c r="PBR48" s="952"/>
      <c r="PBS48" s="952"/>
      <c r="PBT48" s="952"/>
      <c r="PBU48" s="952"/>
      <c r="PBV48" s="952"/>
      <c r="PBW48" s="952"/>
      <c r="PBX48" s="952"/>
      <c r="PBY48" s="952"/>
      <c r="PBZ48" s="952"/>
      <c r="PCA48" s="952"/>
      <c r="PCB48" s="952"/>
      <c r="PCC48" s="952"/>
      <c r="PCD48" s="952"/>
      <c r="PCE48" s="952"/>
      <c r="PCF48" s="952"/>
      <c r="PCG48" s="952"/>
      <c r="PCH48" s="952"/>
      <c r="PCI48" s="952"/>
      <c r="PCJ48" s="952"/>
      <c r="PCK48" s="952"/>
      <c r="PCL48" s="952"/>
      <c r="PCM48" s="952"/>
      <c r="PCN48" s="952"/>
      <c r="PCO48" s="952"/>
      <c r="PCP48" s="952"/>
      <c r="PCQ48" s="952"/>
      <c r="PCR48" s="952"/>
      <c r="PCS48" s="952"/>
      <c r="PCT48" s="952"/>
      <c r="PCU48" s="952"/>
      <c r="PCV48" s="952"/>
      <c r="PCW48" s="952"/>
      <c r="PCX48" s="952"/>
      <c r="PCY48" s="952"/>
      <c r="PCZ48" s="952"/>
      <c r="PDA48" s="952"/>
      <c r="PDB48" s="952"/>
      <c r="PDC48" s="952"/>
      <c r="PDD48" s="952"/>
      <c r="PDE48" s="952"/>
      <c r="PDF48" s="952"/>
      <c r="PDG48" s="952"/>
      <c r="PDH48" s="952"/>
      <c r="PDI48" s="952"/>
      <c r="PDJ48" s="952"/>
      <c r="PDK48" s="952"/>
      <c r="PDL48" s="952"/>
      <c r="PDM48" s="952"/>
      <c r="PDN48" s="952"/>
      <c r="PDO48" s="952"/>
      <c r="PDP48" s="952"/>
      <c r="PDQ48" s="952"/>
      <c r="PDR48" s="952"/>
      <c r="PDS48" s="952"/>
      <c r="PDT48" s="952"/>
      <c r="PDU48" s="952"/>
      <c r="PDV48" s="952"/>
      <c r="PDW48" s="952"/>
      <c r="PDX48" s="952"/>
      <c r="PDY48" s="952"/>
      <c r="PDZ48" s="952"/>
      <c r="PEA48" s="952"/>
      <c r="PEB48" s="952"/>
      <c r="PEC48" s="952"/>
      <c r="PED48" s="952"/>
      <c r="PEE48" s="952"/>
      <c r="PEF48" s="952"/>
      <c r="PEG48" s="952"/>
      <c r="PEH48" s="952"/>
      <c r="PEI48" s="952"/>
      <c r="PEJ48" s="952"/>
      <c r="PEK48" s="952"/>
      <c r="PEL48" s="952"/>
      <c r="PEM48" s="952"/>
      <c r="PEN48" s="952"/>
      <c r="PEO48" s="952"/>
      <c r="PEP48" s="952"/>
      <c r="PEQ48" s="952"/>
      <c r="PER48" s="952"/>
      <c r="PES48" s="952"/>
      <c r="PET48" s="952"/>
      <c r="PEU48" s="952"/>
      <c r="PEV48" s="952"/>
      <c r="PEW48" s="952"/>
      <c r="PEX48" s="952"/>
      <c r="PEY48" s="952"/>
      <c r="PEZ48" s="952"/>
      <c r="PFA48" s="952"/>
      <c r="PFB48" s="952"/>
      <c r="PFC48" s="952"/>
      <c r="PFD48" s="952"/>
      <c r="PFE48" s="952"/>
      <c r="PFF48" s="952"/>
      <c r="PFG48" s="952"/>
      <c r="PFH48" s="952"/>
      <c r="PFI48" s="952"/>
      <c r="PFJ48" s="952"/>
      <c r="PFK48" s="952"/>
      <c r="PFL48" s="952"/>
      <c r="PFM48" s="952"/>
      <c r="PFN48" s="952"/>
      <c r="PFO48" s="952"/>
      <c r="PFP48" s="952"/>
      <c r="PFQ48" s="952"/>
      <c r="PFR48" s="952"/>
      <c r="PFS48" s="952"/>
      <c r="PFT48" s="952"/>
      <c r="PFU48" s="952"/>
      <c r="PFV48" s="952"/>
      <c r="PFW48" s="952"/>
      <c r="PFX48" s="952"/>
      <c r="PFY48" s="952"/>
      <c r="PFZ48" s="952"/>
      <c r="PGA48" s="952"/>
      <c r="PGB48" s="952"/>
      <c r="PGC48" s="952"/>
      <c r="PGD48" s="952"/>
      <c r="PGE48" s="952"/>
      <c r="PGF48" s="952"/>
      <c r="PGG48" s="952"/>
      <c r="PGH48" s="952"/>
      <c r="PGI48" s="952"/>
      <c r="PGJ48" s="952"/>
      <c r="PGK48" s="952"/>
      <c r="PGL48" s="952"/>
      <c r="PGM48" s="952"/>
      <c r="PGN48" s="952"/>
      <c r="PGO48" s="952"/>
      <c r="PGP48" s="952"/>
      <c r="PGQ48" s="952"/>
      <c r="PGR48" s="952"/>
      <c r="PGS48" s="952"/>
      <c r="PGT48" s="952"/>
      <c r="PGU48" s="952"/>
      <c r="PGV48" s="952"/>
      <c r="PGW48" s="952"/>
      <c r="PGX48" s="952"/>
      <c r="PGY48" s="952"/>
      <c r="PGZ48" s="952"/>
      <c r="PHA48" s="952"/>
      <c r="PHB48" s="952"/>
      <c r="PHC48" s="952"/>
      <c r="PHD48" s="952"/>
      <c r="PHE48" s="952"/>
      <c r="PHF48" s="952"/>
      <c r="PHG48" s="952"/>
      <c r="PHH48" s="952"/>
      <c r="PHI48" s="952"/>
      <c r="PHJ48" s="952"/>
      <c r="PHK48" s="952"/>
      <c r="PHL48" s="952"/>
      <c r="PHM48" s="952"/>
      <c r="PHN48" s="952"/>
      <c r="PHO48" s="952"/>
      <c r="PHP48" s="952"/>
      <c r="PHQ48" s="952"/>
      <c r="PHR48" s="952"/>
      <c r="PHS48" s="952"/>
      <c r="PHT48" s="952"/>
      <c r="PHU48" s="952"/>
      <c r="PHV48" s="952"/>
      <c r="PHW48" s="952"/>
      <c r="PHX48" s="952"/>
      <c r="PHY48" s="952"/>
      <c r="PHZ48" s="952"/>
      <c r="PIA48" s="952"/>
      <c r="PIB48" s="952"/>
      <c r="PIC48" s="952"/>
      <c r="PID48" s="952"/>
      <c r="PIE48" s="952"/>
      <c r="PIF48" s="952"/>
      <c r="PIG48" s="952"/>
      <c r="PIH48" s="952"/>
      <c r="PII48" s="952"/>
      <c r="PIJ48" s="952"/>
      <c r="PIK48" s="952"/>
      <c r="PIL48" s="952"/>
      <c r="PIM48" s="952"/>
      <c r="PIN48" s="952"/>
      <c r="PIO48" s="952"/>
      <c r="PIP48" s="952"/>
      <c r="PIQ48" s="952"/>
      <c r="PIR48" s="952"/>
      <c r="PIS48" s="952"/>
      <c r="PIT48" s="952"/>
      <c r="PIU48" s="952"/>
      <c r="PIV48" s="952"/>
      <c r="PIW48" s="952"/>
      <c r="PIX48" s="952"/>
      <c r="PIY48" s="952"/>
      <c r="PIZ48" s="952"/>
      <c r="PJA48" s="952"/>
      <c r="PJB48" s="952"/>
      <c r="PJC48" s="952"/>
      <c r="PJD48" s="952"/>
      <c r="PJE48" s="952"/>
      <c r="PJF48" s="952"/>
      <c r="PJG48" s="952"/>
      <c r="PJH48" s="952"/>
      <c r="PJI48" s="952"/>
      <c r="PJJ48" s="952"/>
      <c r="PJK48" s="952"/>
      <c r="PJL48" s="952"/>
      <c r="PJM48" s="952"/>
      <c r="PJN48" s="952"/>
      <c r="PJO48" s="952"/>
      <c r="PJP48" s="952"/>
      <c r="PJQ48" s="952"/>
      <c r="PJR48" s="952"/>
      <c r="PJS48" s="952"/>
      <c r="PJT48" s="952"/>
      <c r="PJU48" s="952"/>
      <c r="PJV48" s="952"/>
      <c r="PJW48" s="952"/>
      <c r="PJX48" s="952"/>
      <c r="PJY48" s="952"/>
      <c r="PJZ48" s="952"/>
      <c r="PKA48" s="952"/>
      <c r="PKB48" s="952"/>
      <c r="PKC48" s="952"/>
      <c r="PKD48" s="952"/>
      <c r="PKE48" s="952"/>
      <c r="PKF48" s="952"/>
      <c r="PKG48" s="952"/>
      <c r="PKH48" s="952"/>
      <c r="PKI48" s="952"/>
      <c r="PKJ48" s="952"/>
      <c r="PKK48" s="952"/>
      <c r="PKL48" s="952"/>
      <c r="PKM48" s="952"/>
      <c r="PKN48" s="952"/>
      <c r="PKO48" s="952"/>
      <c r="PKP48" s="952"/>
      <c r="PKQ48" s="952"/>
      <c r="PKR48" s="952"/>
      <c r="PKS48" s="952"/>
      <c r="PKT48" s="952"/>
      <c r="PKU48" s="952"/>
      <c r="PKV48" s="952"/>
      <c r="PKW48" s="952"/>
      <c r="PKX48" s="952"/>
      <c r="PKY48" s="952"/>
      <c r="PKZ48" s="952"/>
      <c r="PLA48" s="952"/>
      <c r="PLB48" s="952"/>
      <c r="PLC48" s="952"/>
      <c r="PLD48" s="952"/>
      <c r="PLE48" s="952"/>
      <c r="PLF48" s="952"/>
      <c r="PLG48" s="952"/>
      <c r="PLH48" s="952"/>
      <c r="PLI48" s="952"/>
      <c r="PLJ48" s="952"/>
      <c r="PLK48" s="952"/>
      <c r="PLL48" s="952"/>
      <c r="PLM48" s="952"/>
      <c r="PLN48" s="952"/>
      <c r="PLO48" s="952"/>
      <c r="PLP48" s="952"/>
      <c r="PLQ48" s="952"/>
      <c r="PLR48" s="952"/>
      <c r="PLS48" s="952"/>
      <c r="PLT48" s="952"/>
      <c r="PLU48" s="952"/>
      <c r="PLV48" s="952"/>
      <c r="PLW48" s="952"/>
      <c r="PLX48" s="952"/>
      <c r="PLY48" s="952"/>
      <c r="PLZ48" s="952"/>
      <c r="PMA48" s="952"/>
      <c r="PMB48" s="952"/>
      <c r="PMC48" s="952"/>
      <c r="PMD48" s="952"/>
      <c r="PME48" s="952"/>
      <c r="PMF48" s="952"/>
      <c r="PMG48" s="952"/>
      <c r="PMH48" s="952"/>
      <c r="PMI48" s="952"/>
      <c r="PMJ48" s="952"/>
      <c r="PMK48" s="952"/>
      <c r="PML48" s="952"/>
      <c r="PMM48" s="952"/>
      <c r="PMN48" s="952"/>
      <c r="PMO48" s="952"/>
      <c r="PMP48" s="952"/>
      <c r="PMQ48" s="952"/>
      <c r="PMR48" s="952"/>
      <c r="PMS48" s="952"/>
      <c r="PMT48" s="952"/>
      <c r="PMU48" s="952"/>
      <c r="PMV48" s="952"/>
      <c r="PMW48" s="952"/>
      <c r="PMX48" s="952"/>
      <c r="PMY48" s="952"/>
      <c r="PMZ48" s="952"/>
      <c r="PNA48" s="952"/>
      <c r="PNB48" s="952"/>
      <c r="PNC48" s="952"/>
      <c r="PND48" s="952"/>
      <c r="PNE48" s="952"/>
      <c r="PNF48" s="952"/>
      <c r="PNG48" s="952"/>
      <c r="PNH48" s="952"/>
      <c r="PNI48" s="952"/>
      <c r="PNJ48" s="952"/>
      <c r="PNK48" s="952"/>
      <c r="PNL48" s="952"/>
      <c r="PNM48" s="952"/>
      <c r="PNN48" s="952"/>
      <c r="PNO48" s="952"/>
      <c r="PNP48" s="952"/>
      <c r="PNQ48" s="952"/>
      <c r="PNR48" s="952"/>
      <c r="PNS48" s="952"/>
      <c r="PNT48" s="952"/>
      <c r="PNU48" s="952"/>
      <c r="PNV48" s="952"/>
      <c r="PNW48" s="952"/>
      <c r="PNX48" s="952"/>
      <c r="PNY48" s="952"/>
      <c r="PNZ48" s="952"/>
      <c r="POA48" s="952"/>
      <c r="POB48" s="952"/>
      <c r="POC48" s="952"/>
      <c r="POD48" s="952"/>
      <c r="POE48" s="952"/>
      <c r="POF48" s="952"/>
      <c r="POG48" s="952"/>
      <c r="POH48" s="952"/>
      <c r="POI48" s="952"/>
      <c r="POJ48" s="952"/>
      <c r="POK48" s="952"/>
      <c r="POL48" s="952"/>
      <c r="POM48" s="952"/>
      <c r="PON48" s="952"/>
      <c r="POO48" s="952"/>
      <c r="POP48" s="952"/>
      <c r="POQ48" s="952"/>
      <c r="POR48" s="952"/>
      <c r="POS48" s="952"/>
      <c r="POT48" s="952"/>
      <c r="POU48" s="952"/>
      <c r="POV48" s="952"/>
      <c r="POW48" s="952"/>
      <c r="POX48" s="952"/>
      <c r="POY48" s="952"/>
      <c r="POZ48" s="952"/>
      <c r="PPA48" s="952"/>
      <c r="PPB48" s="952"/>
      <c r="PPC48" s="952"/>
      <c r="PPD48" s="952"/>
      <c r="PPE48" s="952"/>
      <c r="PPF48" s="952"/>
      <c r="PPG48" s="952"/>
      <c r="PPH48" s="952"/>
      <c r="PPI48" s="952"/>
      <c r="PPJ48" s="952"/>
      <c r="PPK48" s="952"/>
      <c r="PPL48" s="952"/>
      <c r="PPM48" s="952"/>
      <c r="PPN48" s="952"/>
      <c r="PPO48" s="952"/>
      <c r="PPP48" s="952"/>
      <c r="PPQ48" s="952"/>
      <c r="PPR48" s="952"/>
      <c r="PPS48" s="952"/>
      <c r="PPT48" s="952"/>
      <c r="PPU48" s="952"/>
      <c r="PPV48" s="952"/>
      <c r="PPW48" s="952"/>
      <c r="PPX48" s="952"/>
      <c r="PPY48" s="952"/>
      <c r="PPZ48" s="952"/>
      <c r="PQA48" s="952"/>
      <c r="PQB48" s="952"/>
      <c r="PQC48" s="952"/>
      <c r="PQD48" s="952"/>
      <c r="PQE48" s="952"/>
      <c r="PQF48" s="952"/>
      <c r="PQG48" s="952"/>
      <c r="PQH48" s="952"/>
      <c r="PQI48" s="952"/>
      <c r="PQJ48" s="952"/>
      <c r="PQK48" s="952"/>
      <c r="PQL48" s="952"/>
      <c r="PQM48" s="952"/>
      <c r="PQN48" s="952"/>
      <c r="PQO48" s="952"/>
      <c r="PQP48" s="952"/>
      <c r="PQQ48" s="952"/>
      <c r="PQR48" s="952"/>
      <c r="PQS48" s="952"/>
      <c r="PQT48" s="952"/>
      <c r="PQU48" s="952"/>
      <c r="PQV48" s="952"/>
      <c r="PQW48" s="952"/>
      <c r="PQX48" s="952"/>
      <c r="PQY48" s="952"/>
      <c r="PQZ48" s="952"/>
      <c r="PRA48" s="952"/>
      <c r="PRB48" s="952"/>
      <c r="PRC48" s="952"/>
      <c r="PRD48" s="952"/>
      <c r="PRE48" s="952"/>
      <c r="PRF48" s="952"/>
      <c r="PRG48" s="952"/>
      <c r="PRH48" s="952"/>
      <c r="PRI48" s="952"/>
      <c r="PRJ48" s="952"/>
      <c r="PRK48" s="952"/>
      <c r="PRL48" s="952"/>
      <c r="PRM48" s="952"/>
      <c r="PRN48" s="952"/>
      <c r="PRO48" s="952"/>
      <c r="PRP48" s="952"/>
      <c r="PRQ48" s="952"/>
      <c r="PRR48" s="952"/>
      <c r="PRS48" s="952"/>
      <c r="PRT48" s="952"/>
      <c r="PRU48" s="952"/>
      <c r="PRV48" s="952"/>
      <c r="PRW48" s="952"/>
      <c r="PRX48" s="952"/>
      <c r="PRY48" s="952"/>
      <c r="PRZ48" s="952"/>
      <c r="PSA48" s="952"/>
      <c r="PSB48" s="952"/>
      <c r="PSC48" s="952"/>
      <c r="PSD48" s="952"/>
      <c r="PSE48" s="952"/>
      <c r="PSF48" s="952"/>
      <c r="PSG48" s="952"/>
      <c r="PSH48" s="952"/>
      <c r="PSI48" s="952"/>
      <c r="PSJ48" s="952"/>
      <c r="PSK48" s="952"/>
      <c r="PSL48" s="952"/>
      <c r="PSM48" s="952"/>
      <c r="PSN48" s="952"/>
      <c r="PSO48" s="952"/>
      <c r="PSP48" s="952"/>
      <c r="PSQ48" s="952"/>
      <c r="PSR48" s="952"/>
      <c r="PSS48" s="952"/>
      <c r="PST48" s="952"/>
      <c r="PSU48" s="952"/>
      <c r="PSV48" s="952"/>
      <c r="PSW48" s="952"/>
      <c r="PSX48" s="952"/>
      <c r="PSY48" s="952"/>
      <c r="PSZ48" s="952"/>
      <c r="PTA48" s="952"/>
      <c r="PTB48" s="952"/>
      <c r="PTC48" s="952"/>
      <c r="PTD48" s="952"/>
      <c r="PTE48" s="952"/>
      <c r="PTF48" s="952"/>
      <c r="PTG48" s="952"/>
      <c r="PTH48" s="952"/>
      <c r="PTI48" s="952"/>
      <c r="PTJ48" s="952"/>
      <c r="PTK48" s="952"/>
      <c r="PTL48" s="952"/>
      <c r="PTM48" s="952"/>
      <c r="PTN48" s="952"/>
      <c r="PTO48" s="952"/>
      <c r="PTP48" s="952"/>
      <c r="PTQ48" s="952"/>
      <c r="PTR48" s="952"/>
      <c r="PTS48" s="952"/>
      <c r="PTT48" s="952"/>
      <c r="PTU48" s="952"/>
      <c r="PTV48" s="952"/>
      <c r="PTW48" s="952"/>
      <c r="PTX48" s="952"/>
      <c r="PTY48" s="952"/>
      <c r="PTZ48" s="952"/>
      <c r="PUA48" s="952"/>
      <c r="PUB48" s="952"/>
      <c r="PUC48" s="952"/>
      <c r="PUD48" s="952"/>
      <c r="PUE48" s="952"/>
      <c r="PUF48" s="952"/>
      <c r="PUG48" s="952"/>
      <c r="PUH48" s="952"/>
      <c r="PUI48" s="952"/>
      <c r="PUJ48" s="952"/>
      <c r="PUK48" s="952"/>
      <c r="PUL48" s="952"/>
      <c r="PUM48" s="952"/>
      <c r="PUN48" s="952"/>
      <c r="PUO48" s="952"/>
      <c r="PUP48" s="952"/>
      <c r="PUQ48" s="952"/>
      <c r="PUR48" s="952"/>
      <c r="PUS48" s="952"/>
      <c r="PUT48" s="952"/>
      <c r="PUU48" s="952"/>
      <c r="PUV48" s="952"/>
      <c r="PUW48" s="952"/>
      <c r="PUX48" s="952"/>
      <c r="PUY48" s="952"/>
      <c r="PUZ48" s="952"/>
      <c r="PVA48" s="952"/>
      <c r="PVB48" s="952"/>
      <c r="PVC48" s="952"/>
      <c r="PVD48" s="952"/>
      <c r="PVE48" s="952"/>
      <c r="PVF48" s="952"/>
      <c r="PVG48" s="952"/>
      <c r="PVH48" s="952"/>
      <c r="PVI48" s="952"/>
      <c r="PVJ48" s="952"/>
      <c r="PVK48" s="952"/>
      <c r="PVL48" s="952"/>
      <c r="PVM48" s="952"/>
      <c r="PVN48" s="952"/>
      <c r="PVO48" s="952"/>
      <c r="PVP48" s="952"/>
      <c r="PVQ48" s="952"/>
      <c r="PVR48" s="952"/>
      <c r="PVS48" s="952"/>
      <c r="PVT48" s="952"/>
      <c r="PVU48" s="952"/>
      <c r="PVV48" s="952"/>
      <c r="PVW48" s="952"/>
      <c r="PVX48" s="952"/>
      <c r="PVY48" s="952"/>
      <c r="PVZ48" s="952"/>
      <c r="PWA48" s="952"/>
      <c r="PWB48" s="952"/>
      <c r="PWC48" s="952"/>
      <c r="PWD48" s="952"/>
      <c r="PWE48" s="952"/>
      <c r="PWF48" s="952"/>
      <c r="PWG48" s="952"/>
      <c r="PWH48" s="952"/>
      <c r="PWI48" s="952"/>
      <c r="PWJ48" s="952"/>
      <c r="PWK48" s="952"/>
      <c r="PWL48" s="952"/>
      <c r="PWM48" s="952"/>
      <c r="PWN48" s="952"/>
      <c r="PWO48" s="952"/>
      <c r="PWP48" s="952"/>
      <c r="PWQ48" s="952"/>
      <c r="PWR48" s="952"/>
      <c r="PWS48" s="952"/>
      <c r="PWT48" s="952"/>
      <c r="PWU48" s="952"/>
      <c r="PWV48" s="952"/>
      <c r="PWW48" s="952"/>
      <c r="PWX48" s="952"/>
      <c r="PWY48" s="952"/>
      <c r="PWZ48" s="952"/>
      <c r="PXA48" s="952"/>
      <c r="PXB48" s="952"/>
      <c r="PXC48" s="952"/>
      <c r="PXD48" s="952"/>
      <c r="PXE48" s="952"/>
      <c r="PXF48" s="952"/>
      <c r="PXG48" s="952"/>
      <c r="PXH48" s="952"/>
      <c r="PXI48" s="952"/>
      <c r="PXJ48" s="952"/>
      <c r="PXK48" s="952"/>
      <c r="PXL48" s="952"/>
      <c r="PXM48" s="952"/>
      <c r="PXN48" s="952"/>
      <c r="PXO48" s="952"/>
      <c r="PXP48" s="952"/>
      <c r="PXQ48" s="952"/>
      <c r="PXR48" s="952"/>
      <c r="PXS48" s="952"/>
      <c r="PXT48" s="952"/>
      <c r="PXU48" s="952"/>
      <c r="PXV48" s="952"/>
      <c r="PXW48" s="952"/>
      <c r="PXX48" s="952"/>
      <c r="PXY48" s="952"/>
      <c r="PXZ48" s="952"/>
      <c r="PYA48" s="952"/>
      <c r="PYB48" s="952"/>
      <c r="PYC48" s="952"/>
      <c r="PYD48" s="952"/>
      <c r="PYE48" s="952"/>
      <c r="PYF48" s="952"/>
      <c r="PYG48" s="952"/>
      <c r="PYH48" s="952"/>
      <c r="PYI48" s="952"/>
      <c r="PYJ48" s="952"/>
      <c r="PYK48" s="952"/>
      <c r="PYL48" s="952"/>
      <c r="PYM48" s="952"/>
      <c r="PYN48" s="952"/>
      <c r="PYO48" s="952"/>
      <c r="PYP48" s="952"/>
      <c r="PYQ48" s="952"/>
      <c r="PYR48" s="952"/>
      <c r="PYS48" s="952"/>
      <c r="PYT48" s="952"/>
      <c r="PYU48" s="952"/>
      <c r="PYV48" s="952"/>
      <c r="PYW48" s="952"/>
      <c r="PYX48" s="952"/>
      <c r="PYY48" s="952"/>
      <c r="PYZ48" s="952"/>
      <c r="PZA48" s="952"/>
      <c r="PZB48" s="952"/>
      <c r="PZC48" s="952"/>
      <c r="PZD48" s="952"/>
      <c r="PZE48" s="952"/>
      <c r="PZF48" s="952"/>
      <c r="PZG48" s="952"/>
      <c r="PZH48" s="952"/>
      <c r="PZI48" s="952"/>
      <c r="PZJ48" s="952"/>
      <c r="PZK48" s="952"/>
      <c r="PZL48" s="952"/>
      <c r="PZM48" s="952"/>
      <c r="PZN48" s="952"/>
      <c r="PZO48" s="952"/>
      <c r="PZP48" s="952"/>
      <c r="PZQ48" s="952"/>
      <c r="PZR48" s="952"/>
      <c r="PZS48" s="952"/>
      <c r="PZT48" s="952"/>
      <c r="PZU48" s="952"/>
      <c r="PZV48" s="952"/>
      <c r="PZW48" s="952"/>
      <c r="PZX48" s="952"/>
      <c r="PZY48" s="952"/>
      <c r="PZZ48" s="952"/>
      <c r="QAA48" s="952"/>
      <c r="QAB48" s="952"/>
      <c r="QAC48" s="952"/>
      <c r="QAD48" s="952"/>
      <c r="QAE48" s="952"/>
      <c r="QAF48" s="952"/>
      <c r="QAG48" s="952"/>
      <c r="QAH48" s="952"/>
      <c r="QAI48" s="952"/>
      <c r="QAJ48" s="952"/>
      <c r="QAK48" s="952"/>
      <c r="QAL48" s="952"/>
      <c r="QAM48" s="952"/>
      <c r="QAN48" s="952"/>
      <c r="QAO48" s="952"/>
      <c r="QAP48" s="952"/>
      <c r="QAQ48" s="952"/>
      <c r="QAR48" s="952"/>
      <c r="QAS48" s="952"/>
      <c r="QAT48" s="952"/>
      <c r="QAU48" s="952"/>
      <c r="QAV48" s="952"/>
      <c r="QAW48" s="952"/>
      <c r="QAX48" s="952"/>
      <c r="QAY48" s="952"/>
      <c r="QAZ48" s="952"/>
      <c r="QBA48" s="952"/>
      <c r="QBB48" s="952"/>
      <c r="QBC48" s="952"/>
      <c r="QBD48" s="952"/>
      <c r="QBE48" s="952"/>
      <c r="QBF48" s="952"/>
      <c r="QBG48" s="952"/>
      <c r="QBH48" s="952"/>
      <c r="QBI48" s="952"/>
      <c r="QBJ48" s="952"/>
      <c r="QBK48" s="952"/>
      <c r="QBL48" s="952"/>
      <c r="QBM48" s="952"/>
      <c r="QBN48" s="952"/>
      <c r="QBO48" s="952"/>
      <c r="QBP48" s="952"/>
      <c r="QBQ48" s="952"/>
      <c r="QBR48" s="952"/>
      <c r="QBS48" s="952"/>
      <c r="QBT48" s="952"/>
      <c r="QBU48" s="952"/>
      <c r="QBV48" s="952"/>
      <c r="QBW48" s="952"/>
      <c r="QBX48" s="952"/>
      <c r="QBY48" s="952"/>
      <c r="QBZ48" s="952"/>
      <c r="QCA48" s="952"/>
      <c r="QCB48" s="952"/>
      <c r="QCC48" s="952"/>
      <c r="QCD48" s="952"/>
      <c r="QCE48" s="952"/>
      <c r="QCF48" s="952"/>
      <c r="QCG48" s="952"/>
      <c r="QCH48" s="952"/>
      <c r="QCI48" s="952"/>
      <c r="QCJ48" s="952"/>
      <c r="QCK48" s="952"/>
      <c r="QCL48" s="952"/>
      <c r="QCM48" s="952"/>
      <c r="QCN48" s="952"/>
      <c r="QCO48" s="952"/>
      <c r="QCP48" s="952"/>
      <c r="QCQ48" s="952"/>
      <c r="QCR48" s="952"/>
      <c r="QCS48" s="952"/>
      <c r="QCT48" s="952"/>
      <c r="QCU48" s="952"/>
      <c r="QCV48" s="952"/>
      <c r="QCW48" s="952"/>
      <c r="QCX48" s="952"/>
      <c r="QCY48" s="952"/>
      <c r="QCZ48" s="952"/>
      <c r="QDA48" s="952"/>
      <c r="QDB48" s="952"/>
      <c r="QDC48" s="952"/>
      <c r="QDD48" s="952"/>
      <c r="QDE48" s="952"/>
      <c r="QDF48" s="952"/>
      <c r="QDG48" s="952"/>
      <c r="QDH48" s="952"/>
      <c r="QDI48" s="952"/>
      <c r="QDJ48" s="952"/>
      <c r="QDK48" s="952"/>
      <c r="QDL48" s="952"/>
      <c r="QDM48" s="952"/>
      <c r="QDN48" s="952"/>
      <c r="QDO48" s="952"/>
      <c r="QDP48" s="952"/>
      <c r="QDQ48" s="952"/>
      <c r="QDR48" s="952"/>
      <c r="QDS48" s="952"/>
      <c r="QDT48" s="952"/>
      <c r="QDU48" s="952"/>
      <c r="QDV48" s="952"/>
      <c r="QDW48" s="952"/>
      <c r="QDX48" s="952"/>
      <c r="QDY48" s="952"/>
      <c r="QDZ48" s="952"/>
      <c r="QEA48" s="952"/>
      <c r="QEB48" s="952"/>
      <c r="QEC48" s="952"/>
      <c r="QED48" s="952"/>
      <c r="QEE48" s="952"/>
      <c r="QEF48" s="952"/>
      <c r="QEG48" s="952"/>
      <c r="QEH48" s="952"/>
      <c r="QEI48" s="952"/>
      <c r="QEJ48" s="952"/>
      <c r="QEK48" s="952"/>
      <c r="QEL48" s="952"/>
      <c r="QEM48" s="952"/>
      <c r="QEN48" s="952"/>
      <c r="QEO48" s="952"/>
      <c r="QEP48" s="952"/>
      <c r="QEQ48" s="952"/>
      <c r="QER48" s="952"/>
      <c r="QES48" s="952"/>
      <c r="QET48" s="952"/>
      <c r="QEU48" s="952"/>
      <c r="QEV48" s="952"/>
      <c r="QEW48" s="952"/>
      <c r="QEX48" s="952"/>
      <c r="QEY48" s="952"/>
      <c r="QEZ48" s="952"/>
      <c r="QFA48" s="952"/>
      <c r="QFB48" s="952"/>
      <c r="QFC48" s="952"/>
      <c r="QFD48" s="952"/>
      <c r="QFE48" s="952"/>
      <c r="QFF48" s="952"/>
      <c r="QFG48" s="952"/>
      <c r="QFH48" s="952"/>
      <c r="QFI48" s="952"/>
      <c r="QFJ48" s="952"/>
      <c r="QFK48" s="952"/>
      <c r="QFL48" s="952"/>
      <c r="QFM48" s="952"/>
      <c r="QFN48" s="952"/>
      <c r="QFO48" s="952"/>
      <c r="QFP48" s="952"/>
      <c r="QFQ48" s="952"/>
      <c r="QFR48" s="952"/>
      <c r="QFS48" s="952"/>
      <c r="QFT48" s="952"/>
      <c r="QFU48" s="952"/>
      <c r="QFV48" s="952"/>
      <c r="QFW48" s="952"/>
      <c r="QFX48" s="952"/>
      <c r="QFY48" s="952"/>
      <c r="QFZ48" s="952"/>
      <c r="QGA48" s="952"/>
      <c r="QGB48" s="952"/>
      <c r="QGC48" s="952"/>
      <c r="QGD48" s="952"/>
      <c r="QGE48" s="952"/>
      <c r="QGF48" s="952"/>
      <c r="QGG48" s="952"/>
      <c r="QGH48" s="952"/>
      <c r="QGI48" s="952"/>
      <c r="QGJ48" s="952"/>
      <c r="QGK48" s="952"/>
      <c r="QGL48" s="952"/>
      <c r="QGM48" s="952"/>
      <c r="QGN48" s="952"/>
      <c r="QGO48" s="952"/>
      <c r="QGP48" s="952"/>
      <c r="QGQ48" s="952"/>
      <c r="QGR48" s="952"/>
      <c r="QGS48" s="952"/>
      <c r="QGT48" s="952"/>
      <c r="QGU48" s="952"/>
      <c r="QGV48" s="952"/>
      <c r="QGW48" s="952"/>
      <c r="QGX48" s="952"/>
      <c r="QGY48" s="952"/>
      <c r="QGZ48" s="952"/>
      <c r="QHA48" s="952"/>
      <c r="QHB48" s="952"/>
      <c r="QHC48" s="952"/>
      <c r="QHD48" s="952"/>
      <c r="QHE48" s="952"/>
      <c r="QHF48" s="952"/>
      <c r="QHG48" s="952"/>
      <c r="QHH48" s="952"/>
      <c r="QHI48" s="952"/>
      <c r="QHJ48" s="952"/>
      <c r="QHK48" s="952"/>
      <c r="QHL48" s="952"/>
      <c r="QHM48" s="952"/>
      <c r="QHN48" s="952"/>
      <c r="QHO48" s="952"/>
      <c r="QHP48" s="952"/>
      <c r="QHQ48" s="952"/>
      <c r="QHR48" s="952"/>
      <c r="QHS48" s="952"/>
      <c r="QHT48" s="952"/>
      <c r="QHU48" s="952"/>
      <c r="QHV48" s="952"/>
      <c r="QHW48" s="952"/>
      <c r="QHX48" s="952"/>
      <c r="QHY48" s="952"/>
      <c r="QHZ48" s="952"/>
      <c r="QIA48" s="952"/>
      <c r="QIB48" s="952"/>
      <c r="QIC48" s="952"/>
      <c r="QID48" s="952"/>
      <c r="QIE48" s="952"/>
      <c r="QIF48" s="952"/>
      <c r="QIG48" s="952"/>
      <c r="QIH48" s="952"/>
      <c r="QII48" s="952"/>
      <c r="QIJ48" s="952"/>
      <c r="QIK48" s="952"/>
      <c r="QIL48" s="952"/>
      <c r="QIM48" s="952"/>
      <c r="QIN48" s="952"/>
      <c r="QIO48" s="952"/>
      <c r="QIP48" s="952"/>
      <c r="QIQ48" s="952"/>
      <c r="QIR48" s="952"/>
      <c r="QIS48" s="952"/>
      <c r="QIT48" s="952"/>
      <c r="QIU48" s="952"/>
      <c r="QIV48" s="952"/>
      <c r="QIW48" s="952"/>
      <c r="QIX48" s="952"/>
      <c r="QIY48" s="952"/>
      <c r="QIZ48" s="952"/>
      <c r="QJA48" s="952"/>
      <c r="QJB48" s="952"/>
      <c r="QJC48" s="952"/>
      <c r="QJD48" s="952"/>
      <c r="QJE48" s="952"/>
      <c r="QJF48" s="952"/>
      <c r="QJG48" s="952"/>
      <c r="QJH48" s="952"/>
      <c r="QJI48" s="952"/>
      <c r="QJJ48" s="952"/>
      <c r="QJK48" s="952"/>
      <c r="QJL48" s="952"/>
      <c r="QJM48" s="952"/>
      <c r="QJN48" s="952"/>
      <c r="QJO48" s="952"/>
      <c r="QJP48" s="952"/>
      <c r="QJQ48" s="952"/>
      <c r="QJR48" s="952"/>
      <c r="QJS48" s="952"/>
      <c r="QJT48" s="952"/>
      <c r="QJU48" s="952"/>
      <c r="QJV48" s="952"/>
      <c r="QJW48" s="952"/>
      <c r="QJX48" s="952"/>
      <c r="QJY48" s="952"/>
      <c r="QJZ48" s="952"/>
      <c r="QKA48" s="952"/>
      <c r="QKB48" s="952"/>
      <c r="QKC48" s="952"/>
      <c r="QKD48" s="952"/>
      <c r="QKE48" s="952"/>
      <c r="QKF48" s="952"/>
      <c r="QKG48" s="952"/>
      <c r="QKH48" s="952"/>
      <c r="QKI48" s="952"/>
      <c r="QKJ48" s="952"/>
      <c r="QKK48" s="952"/>
      <c r="QKL48" s="952"/>
      <c r="QKM48" s="952"/>
      <c r="QKN48" s="952"/>
      <c r="QKO48" s="952"/>
      <c r="QKP48" s="952"/>
      <c r="QKQ48" s="952"/>
      <c r="QKR48" s="952"/>
      <c r="QKS48" s="952"/>
      <c r="QKT48" s="952"/>
      <c r="QKU48" s="952"/>
      <c r="QKV48" s="952"/>
      <c r="QKW48" s="952"/>
      <c r="QKX48" s="952"/>
      <c r="QKY48" s="952"/>
      <c r="QKZ48" s="952"/>
      <c r="QLA48" s="952"/>
      <c r="QLB48" s="952"/>
      <c r="QLC48" s="952"/>
      <c r="QLD48" s="952"/>
      <c r="QLE48" s="952"/>
      <c r="QLF48" s="952"/>
      <c r="QLG48" s="952"/>
      <c r="QLH48" s="952"/>
      <c r="QLI48" s="952"/>
      <c r="QLJ48" s="952"/>
      <c r="QLK48" s="952"/>
      <c r="QLL48" s="952"/>
      <c r="QLM48" s="952"/>
      <c r="QLN48" s="952"/>
      <c r="QLO48" s="952"/>
      <c r="QLP48" s="952"/>
      <c r="QLQ48" s="952"/>
      <c r="QLR48" s="952"/>
      <c r="QLS48" s="952"/>
      <c r="QLT48" s="952"/>
      <c r="QLU48" s="952"/>
      <c r="QLV48" s="952"/>
      <c r="QLW48" s="952"/>
      <c r="QLX48" s="952"/>
      <c r="QLY48" s="952"/>
      <c r="QLZ48" s="952"/>
      <c r="QMA48" s="952"/>
      <c r="QMB48" s="952"/>
      <c r="QMC48" s="952"/>
      <c r="QMD48" s="952"/>
      <c r="QME48" s="952"/>
      <c r="QMF48" s="952"/>
      <c r="QMG48" s="952"/>
      <c r="QMH48" s="952"/>
      <c r="QMI48" s="952"/>
      <c r="QMJ48" s="952"/>
      <c r="QMK48" s="952"/>
      <c r="QML48" s="952"/>
      <c r="QMM48" s="952"/>
      <c r="QMN48" s="952"/>
      <c r="QMO48" s="952"/>
      <c r="QMP48" s="952"/>
      <c r="QMQ48" s="952"/>
      <c r="QMR48" s="952"/>
      <c r="QMS48" s="952"/>
      <c r="QMT48" s="952"/>
      <c r="QMU48" s="952"/>
      <c r="QMV48" s="952"/>
      <c r="QMW48" s="952"/>
      <c r="QMX48" s="952"/>
      <c r="QMY48" s="952"/>
      <c r="QMZ48" s="952"/>
      <c r="QNA48" s="952"/>
      <c r="QNB48" s="952"/>
      <c r="QNC48" s="952"/>
      <c r="QND48" s="952"/>
      <c r="QNE48" s="952"/>
      <c r="QNF48" s="952"/>
      <c r="QNG48" s="952"/>
      <c r="QNH48" s="952"/>
      <c r="QNI48" s="952"/>
      <c r="QNJ48" s="952"/>
      <c r="QNK48" s="952"/>
      <c r="QNL48" s="952"/>
      <c r="QNM48" s="952"/>
      <c r="QNN48" s="952"/>
      <c r="QNO48" s="952"/>
      <c r="QNP48" s="952"/>
      <c r="QNQ48" s="952"/>
      <c r="QNR48" s="952"/>
      <c r="QNS48" s="952"/>
      <c r="QNT48" s="952"/>
      <c r="QNU48" s="952"/>
      <c r="QNV48" s="952"/>
      <c r="QNW48" s="952"/>
      <c r="QNX48" s="952"/>
      <c r="QNY48" s="952"/>
      <c r="QNZ48" s="952"/>
      <c r="QOA48" s="952"/>
      <c r="QOB48" s="952"/>
      <c r="QOC48" s="952"/>
      <c r="QOD48" s="952"/>
      <c r="QOE48" s="952"/>
      <c r="QOF48" s="952"/>
      <c r="QOG48" s="952"/>
      <c r="QOH48" s="952"/>
      <c r="QOI48" s="952"/>
      <c r="QOJ48" s="952"/>
      <c r="QOK48" s="952"/>
      <c r="QOL48" s="952"/>
      <c r="QOM48" s="952"/>
      <c r="QON48" s="952"/>
      <c r="QOO48" s="952"/>
      <c r="QOP48" s="952"/>
      <c r="QOQ48" s="952"/>
      <c r="QOR48" s="952"/>
      <c r="QOS48" s="952"/>
      <c r="QOT48" s="952"/>
      <c r="QOU48" s="952"/>
      <c r="QOV48" s="952"/>
      <c r="QOW48" s="952"/>
      <c r="QOX48" s="952"/>
      <c r="QOY48" s="952"/>
      <c r="QOZ48" s="952"/>
      <c r="QPA48" s="952"/>
      <c r="QPB48" s="952"/>
      <c r="QPC48" s="952"/>
      <c r="QPD48" s="952"/>
      <c r="QPE48" s="952"/>
      <c r="QPF48" s="952"/>
      <c r="QPG48" s="952"/>
      <c r="QPH48" s="952"/>
      <c r="QPI48" s="952"/>
      <c r="QPJ48" s="952"/>
      <c r="QPK48" s="952"/>
      <c r="QPL48" s="952"/>
      <c r="QPM48" s="952"/>
      <c r="QPN48" s="952"/>
      <c r="QPO48" s="952"/>
      <c r="QPP48" s="952"/>
      <c r="QPQ48" s="952"/>
      <c r="QPR48" s="952"/>
      <c r="QPS48" s="952"/>
      <c r="QPT48" s="952"/>
      <c r="QPU48" s="952"/>
      <c r="QPV48" s="952"/>
      <c r="QPW48" s="952"/>
      <c r="QPX48" s="952"/>
      <c r="QPY48" s="952"/>
      <c r="QPZ48" s="952"/>
      <c r="QQA48" s="952"/>
      <c r="QQB48" s="952"/>
      <c r="QQC48" s="952"/>
      <c r="QQD48" s="952"/>
      <c r="QQE48" s="952"/>
      <c r="QQF48" s="952"/>
      <c r="QQG48" s="952"/>
      <c r="QQH48" s="952"/>
      <c r="QQI48" s="952"/>
      <c r="QQJ48" s="952"/>
      <c r="QQK48" s="952"/>
      <c r="QQL48" s="952"/>
      <c r="QQM48" s="952"/>
      <c r="QQN48" s="952"/>
      <c r="QQO48" s="952"/>
      <c r="QQP48" s="952"/>
      <c r="QQQ48" s="952"/>
      <c r="QQR48" s="952"/>
      <c r="QQS48" s="952"/>
      <c r="QQT48" s="952"/>
      <c r="QQU48" s="952"/>
      <c r="QQV48" s="952"/>
      <c r="QQW48" s="952"/>
      <c r="QQX48" s="952"/>
      <c r="QQY48" s="952"/>
      <c r="QQZ48" s="952"/>
      <c r="QRA48" s="952"/>
      <c r="QRB48" s="952"/>
      <c r="QRC48" s="952"/>
      <c r="QRD48" s="952"/>
      <c r="QRE48" s="952"/>
      <c r="QRF48" s="952"/>
      <c r="QRG48" s="952"/>
      <c r="QRH48" s="952"/>
      <c r="QRI48" s="952"/>
      <c r="QRJ48" s="952"/>
      <c r="QRK48" s="952"/>
      <c r="QRL48" s="952"/>
      <c r="QRM48" s="952"/>
      <c r="QRN48" s="952"/>
      <c r="QRO48" s="952"/>
      <c r="QRP48" s="952"/>
      <c r="QRQ48" s="952"/>
      <c r="QRR48" s="952"/>
      <c r="QRS48" s="952"/>
      <c r="QRT48" s="952"/>
      <c r="QRU48" s="952"/>
      <c r="QRV48" s="952"/>
      <c r="QRW48" s="952"/>
      <c r="QRX48" s="952"/>
      <c r="QRY48" s="952"/>
      <c r="QRZ48" s="952"/>
      <c r="QSA48" s="952"/>
      <c r="QSB48" s="952"/>
      <c r="QSC48" s="952"/>
      <c r="QSD48" s="952"/>
      <c r="QSE48" s="952"/>
      <c r="QSF48" s="952"/>
      <c r="QSG48" s="952"/>
      <c r="QSH48" s="952"/>
      <c r="QSI48" s="952"/>
      <c r="QSJ48" s="952"/>
      <c r="QSK48" s="952"/>
      <c r="QSL48" s="952"/>
      <c r="QSM48" s="952"/>
      <c r="QSN48" s="952"/>
      <c r="QSO48" s="952"/>
      <c r="QSP48" s="952"/>
      <c r="QSQ48" s="952"/>
      <c r="QSR48" s="952"/>
      <c r="QSS48" s="952"/>
      <c r="QST48" s="952"/>
      <c r="QSU48" s="952"/>
      <c r="QSV48" s="952"/>
      <c r="QSW48" s="952"/>
      <c r="QSX48" s="952"/>
      <c r="QSY48" s="952"/>
      <c r="QSZ48" s="952"/>
      <c r="QTA48" s="952"/>
      <c r="QTB48" s="952"/>
      <c r="QTC48" s="952"/>
      <c r="QTD48" s="952"/>
      <c r="QTE48" s="952"/>
      <c r="QTF48" s="952"/>
      <c r="QTG48" s="952"/>
      <c r="QTH48" s="952"/>
      <c r="QTI48" s="952"/>
      <c r="QTJ48" s="952"/>
      <c r="QTK48" s="952"/>
      <c r="QTL48" s="952"/>
      <c r="QTM48" s="952"/>
      <c r="QTN48" s="952"/>
      <c r="QTO48" s="952"/>
      <c r="QTP48" s="952"/>
      <c r="QTQ48" s="952"/>
      <c r="QTR48" s="952"/>
      <c r="QTS48" s="952"/>
      <c r="QTT48" s="952"/>
      <c r="QTU48" s="952"/>
      <c r="QTV48" s="952"/>
      <c r="QTW48" s="952"/>
      <c r="QTX48" s="952"/>
      <c r="QTY48" s="952"/>
      <c r="QTZ48" s="952"/>
      <c r="QUA48" s="952"/>
      <c r="QUB48" s="952"/>
      <c r="QUC48" s="952"/>
      <c r="QUD48" s="952"/>
      <c r="QUE48" s="952"/>
      <c r="QUF48" s="952"/>
      <c r="QUG48" s="952"/>
      <c r="QUH48" s="952"/>
      <c r="QUI48" s="952"/>
      <c r="QUJ48" s="952"/>
      <c r="QUK48" s="952"/>
      <c r="QUL48" s="952"/>
      <c r="QUM48" s="952"/>
      <c r="QUN48" s="952"/>
      <c r="QUO48" s="952"/>
      <c r="QUP48" s="952"/>
      <c r="QUQ48" s="952"/>
      <c r="QUR48" s="952"/>
      <c r="QUS48" s="952"/>
      <c r="QUT48" s="952"/>
      <c r="QUU48" s="952"/>
      <c r="QUV48" s="952"/>
      <c r="QUW48" s="952"/>
      <c r="QUX48" s="952"/>
      <c r="QUY48" s="952"/>
      <c r="QUZ48" s="952"/>
      <c r="QVA48" s="952"/>
      <c r="QVB48" s="952"/>
      <c r="QVC48" s="952"/>
      <c r="QVD48" s="952"/>
      <c r="QVE48" s="952"/>
      <c r="QVF48" s="952"/>
      <c r="QVG48" s="952"/>
      <c r="QVH48" s="952"/>
      <c r="QVI48" s="952"/>
      <c r="QVJ48" s="952"/>
      <c r="QVK48" s="952"/>
      <c r="QVL48" s="952"/>
      <c r="QVM48" s="952"/>
      <c r="QVN48" s="952"/>
      <c r="QVO48" s="952"/>
      <c r="QVP48" s="952"/>
      <c r="QVQ48" s="952"/>
      <c r="QVR48" s="952"/>
      <c r="QVS48" s="952"/>
      <c r="QVT48" s="952"/>
      <c r="QVU48" s="952"/>
      <c r="QVV48" s="952"/>
      <c r="QVW48" s="952"/>
      <c r="QVX48" s="952"/>
      <c r="QVY48" s="952"/>
      <c r="QVZ48" s="952"/>
      <c r="QWA48" s="952"/>
      <c r="QWB48" s="952"/>
      <c r="QWC48" s="952"/>
      <c r="QWD48" s="952"/>
      <c r="QWE48" s="952"/>
      <c r="QWF48" s="952"/>
      <c r="QWG48" s="952"/>
      <c r="QWH48" s="952"/>
      <c r="QWI48" s="952"/>
      <c r="QWJ48" s="952"/>
      <c r="QWK48" s="952"/>
      <c r="QWL48" s="952"/>
      <c r="QWM48" s="952"/>
      <c r="QWN48" s="952"/>
      <c r="QWO48" s="952"/>
      <c r="QWP48" s="952"/>
      <c r="QWQ48" s="952"/>
      <c r="QWR48" s="952"/>
      <c r="QWS48" s="952"/>
      <c r="QWT48" s="952"/>
      <c r="QWU48" s="952"/>
      <c r="QWV48" s="952"/>
      <c r="QWW48" s="952"/>
      <c r="QWX48" s="952"/>
      <c r="QWY48" s="952"/>
      <c r="QWZ48" s="952"/>
      <c r="QXA48" s="952"/>
      <c r="QXB48" s="952"/>
      <c r="QXC48" s="952"/>
      <c r="QXD48" s="952"/>
      <c r="QXE48" s="952"/>
      <c r="QXF48" s="952"/>
      <c r="QXG48" s="952"/>
      <c r="QXH48" s="952"/>
      <c r="QXI48" s="952"/>
      <c r="QXJ48" s="952"/>
      <c r="QXK48" s="952"/>
      <c r="QXL48" s="952"/>
      <c r="QXM48" s="952"/>
      <c r="QXN48" s="952"/>
      <c r="QXO48" s="952"/>
      <c r="QXP48" s="952"/>
      <c r="QXQ48" s="952"/>
      <c r="QXR48" s="952"/>
      <c r="QXS48" s="952"/>
      <c r="QXT48" s="952"/>
      <c r="QXU48" s="952"/>
      <c r="QXV48" s="952"/>
      <c r="QXW48" s="952"/>
      <c r="QXX48" s="952"/>
      <c r="QXY48" s="952"/>
      <c r="QXZ48" s="952"/>
      <c r="QYA48" s="952"/>
      <c r="QYB48" s="952"/>
      <c r="QYC48" s="952"/>
      <c r="QYD48" s="952"/>
      <c r="QYE48" s="952"/>
      <c r="QYF48" s="952"/>
      <c r="QYG48" s="952"/>
      <c r="QYH48" s="952"/>
      <c r="QYI48" s="952"/>
      <c r="QYJ48" s="952"/>
      <c r="QYK48" s="952"/>
      <c r="QYL48" s="952"/>
      <c r="QYM48" s="952"/>
      <c r="QYN48" s="952"/>
      <c r="QYO48" s="952"/>
      <c r="QYP48" s="952"/>
      <c r="QYQ48" s="952"/>
      <c r="QYR48" s="952"/>
      <c r="QYS48" s="952"/>
      <c r="QYT48" s="952"/>
      <c r="QYU48" s="952"/>
      <c r="QYV48" s="952"/>
      <c r="QYW48" s="952"/>
      <c r="QYX48" s="952"/>
      <c r="QYY48" s="952"/>
      <c r="QYZ48" s="952"/>
      <c r="QZA48" s="952"/>
      <c r="QZB48" s="952"/>
      <c r="QZC48" s="952"/>
      <c r="QZD48" s="952"/>
      <c r="QZE48" s="952"/>
      <c r="QZF48" s="952"/>
      <c r="QZG48" s="952"/>
      <c r="QZH48" s="952"/>
      <c r="QZI48" s="952"/>
      <c r="QZJ48" s="952"/>
      <c r="QZK48" s="952"/>
      <c r="QZL48" s="952"/>
      <c r="QZM48" s="952"/>
      <c r="QZN48" s="952"/>
      <c r="QZO48" s="952"/>
      <c r="QZP48" s="952"/>
      <c r="QZQ48" s="952"/>
      <c r="QZR48" s="952"/>
      <c r="QZS48" s="952"/>
      <c r="QZT48" s="952"/>
      <c r="QZU48" s="952"/>
      <c r="QZV48" s="952"/>
      <c r="QZW48" s="952"/>
      <c r="QZX48" s="952"/>
      <c r="QZY48" s="952"/>
      <c r="QZZ48" s="952"/>
      <c r="RAA48" s="952"/>
      <c r="RAB48" s="952"/>
      <c r="RAC48" s="952"/>
      <c r="RAD48" s="952"/>
      <c r="RAE48" s="952"/>
      <c r="RAF48" s="952"/>
      <c r="RAG48" s="952"/>
      <c r="RAH48" s="952"/>
      <c r="RAI48" s="952"/>
      <c r="RAJ48" s="952"/>
      <c r="RAK48" s="952"/>
      <c r="RAL48" s="952"/>
      <c r="RAM48" s="952"/>
      <c r="RAN48" s="952"/>
      <c r="RAO48" s="952"/>
      <c r="RAP48" s="952"/>
      <c r="RAQ48" s="952"/>
      <c r="RAR48" s="952"/>
      <c r="RAS48" s="952"/>
      <c r="RAT48" s="952"/>
      <c r="RAU48" s="952"/>
      <c r="RAV48" s="952"/>
      <c r="RAW48" s="952"/>
      <c r="RAX48" s="952"/>
      <c r="RAY48" s="952"/>
      <c r="RAZ48" s="952"/>
      <c r="RBA48" s="952"/>
      <c r="RBB48" s="952"/>
      <c r="RBC48" s="952"/>
      <c r="RBD48" s="952"/>
      <c r="RBE48" s="952"/>
      <c r="RBF48" s="952"/>
      <c r="RBG48" s="952"/>
      <c r="RBH48" s="952"/>
      <c r="RBI48" s="952"/>
      <c r="RBJ48" s="952"/>
      <c r="RBK48" s="952"/>
      <c r="RBL48" s="952"/>
      <c r="RBM48" s="952"/>
      <c r="RBN48" s="952"/>
      <c r="RBO48" s="952"/>
      <c r="RBP48" s="952"/>
      <c r="RBQ48" s="952"/>
      <c r="RBR48" s="952"/>
      <c r="RBS48" s="952"/>
      <c r="RBT48" s="952"/>
      <c r="RBU48" s="952"/>
      <c r="RBV48" s="952"/>
      <c r="RBW48" s="952"/>
      <c r="RBX48" s="952"/>
      <c r="RBY48" s="952"/>
      <c r="RBZ48" s="952"/>
      <c r="RCA48" s="952"/>
      <c r="RCB48" s="952"/>
      <c r="RCC48" s="952"/>
      <c r="RCD48" s="952"/>
      <c r="RCE48" s="952"/>
      <c r="RCF48" s="952"/>
      <c r="RCG48" s="952"/>
      <c r="RCH48" s="952"/>
      <c r="RCI48" s="952"/>
      <c r="RCJ48" s="952"/>
      <c r="RCK48" s="952"/>
      <c r="RCL48" s="952"/>
      <c r="RCM48" s="952"/>
      <c r="RCN48" s="952"/>
      <c r="RCO48" s="952"/>
      <c r="RCP48" s="952"/>
      <c r="RCQ48" s="952"/>
      <c r="RCR48" s="952"/>
      <c r="RCS48" s="952"/>
      <c r="RCT48" s="952"/>
      <c r="RCU48" s="952"/>
      <c r="RCV48" s="952"/>
      <c r="RCW48" s="952"/>
      <c r="RCX48" s="952"/>
      <c r="RCY48" s="952"/>
      <c r="RCZ48" s="952"/>
      <c r="RDA48" s="952"/>
      <c r="RDB48" s="952"/>
      <c r="RDC48" s="952"/>
      <c r="RDD48" s="952"/>
      <c r="RDE48" s="952"/>
      <c r="RDF48" s="952"/>
      <c r="RDG48" s="952"/>
      <c r="RDH48" s="952"/>
      <c r="RDI48" s="952"/>
      <c r="RDJ48" s="952"/>
      <c r="RDK48" s="952"/>
      <c r="RDL48" s="952"/>
      <c r="RDM48" s="952"/>
      <c r="RDN48" s="952"/>
      <c r="RDO48" s="952"/>
      <c r="RDP48" s="952"/>
      <c r="RDQ48" s="952"/>
      <c r="RDR48" s="952"/>
      <c r="RDS48" s="952"/>
      <c r="RDT48" s="952"/>
      <c r="RDU48" s="952"/>
      <c r="RDV48" s="952"/>
      <c r="RDW48" s="952"/>
      <c r="RDX48" s="952"/>
      <c r="RDY48" s="952"/>
      <c r="RDZ48" s="952"/>
      <c r="REA48" s="952"/>
      <c r="REB48" s="952"/>
      <c r="REC48" s="952"/>
      <c r="RED48" s="952"/>
      <c r="REE48" s="952"/>
      <c r="REF48" s="952"/>
      <c r="REG48" s="952"/>
      <c r="REH48" s="952"/>
      <c r="REI48" s="952"/>
      <c r="REJ48" s="952"/>
      <c r="REK48" s="952"/>
      <c r="REL48" s="952"/>
      <c r="REM48" s="952"/>
      <c r="REN48" s="952"/>
      <c r="REO48" s="952"/>
      <c r="REP48" s="952"/>
      <c r="REQ48" s="952"/>
      <c r="RER48" s="952"/>
      <c r="RES48" s="952"/>
      <c r="RET48" s="952"/>
      <c r="REU48" s="952"/>
      <c r="REV48" s="952"/>
      <c r="REW48" s="952"/>
      <c r="REX48" s="952"/>
      <c r="REY48" s="952"/>
      <c r="REZ48" s="952"/>
      <c r="RFA48" s="952"/>
      <c r="RFB48" s="952"/>
      <c r="RFC48" s="952"/>
      <c r="RFD48" s="952"/>
      <c r="RFE48" s="952"/>
      <c r="RFF48" s="952"/>
      <c r="RFG48" s="952"/>
      <c r="RFH48" s="952"/>
      <c r="RFI48" s="952"/>
      <c r="RFJ48" s="952"/>
      <c r="RFK48" s="952"/>
      <c r="RFL48" s="952"/>
      <c r="RFM48" s="952"/>
      <c r="RFN48" s="952"/>
      <c r="RFO48" s="952"/>
      <c r="RFP48" s="952"/>
      <c r="RFQ48" s="952"/>
      <c r="RFR48" s="952"/>
      <c r="RFS48" s="952"/>
      <c r="RFT48" s="952"/>
      <c r="RFU48" s="952"/>
      <c r="RFV48" s="952"/>
      <c r="RFW48" s="952"/>
      <c r="RFX48" s="952"/>
      <c r="RFY48" s="952"/>
      <c r="RFZ48" s="952"/>
      <c r="RGA48" s="952"/>
      <c r="RGB48" s="952"/>
      <c r="RGC48" s="952"/>
      <c r="RGD48" s="952"/>
      <c r="RGE48" s="952"/>
      <c r="RGF48" s="952"/>
      <c r="RGG48" s="952"/>
      <c r="RGH48" s="952"/>
      <c r="RGI48" s="952"/>
      <c r="RGJ48" s="952"/>
      <c r="RGK48" s="952"/>
      <c r="RGL48" s="952"/>
      <c r="RGM48" s="952"/>
      <c r="RGN48" s="952"/>
      <c r="RGO48" s="952"/>
      <c r="RGP48" s="952"/>
      <c r="RGQ48" s="952"/>
      <c r="RGR48" s="952"/>
      <c r="RGS48" s="952"/>
      <c r="RGT48" s="952"/>
      <c r="RGU48" s="952"/>
      <c r="RGV48" s="952"/>
      <c r="RGW48" s="952"/>
      <c r="RGX48" s="952"/>
      <c r="RGY48" s="952"/>
      <c r="RGZ48" s="952"/>
      <c r="RHA48" s="952"/>
      <c r="RHB48" s="952"/>
      <c r="RHC48" s="952"/>
      <c r="RHD48" s="952"/>
      <c r="RHE48" s="952"/>
      <c r="RHF48" s="952"/>
      <c r="RHG48" s="952"/>
      <c r="RHH48" s="952"/>
      <c r="RHI48" s="952"/>
      <c r="RHJ48" s="952"/>
      <c r="RHK48" s="952"/>
      <c r="RHL48" s="952"/>
      <c r="RHM48" s="952"/>
      <c r="RHN48" s="952"/>
      <c r="RHO48" s="952"/>
      <c r="RHP48" s="952"/>
      <c r="RHQ48" s="952"/>
      <c r="RHR48" s="952"/>
      <c r="RHS48" s="952"/>
      <c r="RHT48" s="952"/>
      <c r="RHU48" s="952"/>
      <c r="RHV48" s="952"/>
      <c r="RHW48" s="952"/>
      <c r="RHX48" s="952"/>
      <c r="RHY48" s="952"/>
      <c r="RHZ48" s="952"/>
      <c r="RIA48" s="952"/>
      <c r="RIB48" s="952"/>
      <c r="RIC48" s="952"/>
      <c r="RID48" s="952"/>
      <c r="RIE48" s="952"/>
      <c r="RIF48" s="952"/>
      <c r="RIG48" s="952"/>
      <c r="RIH48" s="952"/>
      <c r="RII48" s="952"/>
      <c r="RIJ48" s="952"/>
      <c r="RIK48" s="952"/>
      <c r="RIL48" s="952"/>
      <c r="RIM48" s="952"/>
      <c r="RIN48" s="952"/>
      <c r="RIO48" s="952"/>
      <c r="RIP48" s="952"/>
      <c r="RIQ48" s="952"/>
      <c r="RIR48" s="952"/>
      <c r="RIS48" s="952"/>
      <c r="RIT48" s="952"/>
      <c r="RIU48" s="952"/>
      <c r="RIV48" s="952"/>
      <c r="RIW48" s="952"/>
      <c r="RIX48" s="952"/>
      <c r="RIY48" s="952"/>
      <c r="RIZ48" s="952"/>
      <c r="RJA48" s="952"/>
      <c r="RJB48" s="952"/>
      <c r="RJC48" s="952"/>
      <c r="RJD48" s="952"/>
      <c r="RJE48" s="952"/>
      <c r="RJF48" s="952"/>
      <c r="RJG48" s="952"/>
      <c r="RJH48" s="952"/>
      <c r="RJI48" s="952"/>
      <c r="RJJ48" s="952"/>
      <c r="RJK48" s="952"/>
      <c r="RJL48" s="952"/>
      <c r="RJM48" s="952"/>
      <c r="RJN48" s="952"/>
      <c r="RJO48" s="952"/>
      <c r="RJP48" s="952"/>
      <c r="RJQ48" s="952"/>
      <c r="RJR48" s="952"/>
      <c r="RJS48" s="952"/>
      <c r="RJT48" s="952"/>
      <c r="RJU48" s="952"/>
      <c r="RJV48" s="952"/>
      <c r="RJW48" s="952"/>
      <c r="RJX48" s="952"/>
      <c r="RJY48" s="952"/>
      <c r="RJZ48" s="952"/>
      <c r="RKA48" s="952"/>
      <c r="RKB48" s="952"/>
      <c r="RKC48" s="952"/>
      <c r="RKD48" s="952"/>
      <c r="RKE48" s="952"/>
      <c r="RKF48" s="952"/>
      <c r="RKG48" s="952"/>
      <c r="RKH48" s="952"/>
      <c r="RKI48" s="952"/>
      <c r="RKJ48" s="952"/>
      <c r="RKK48" s="952"/>
      <c r="RKL48" s="952"/>
      <c r="RKM48" s="952"/>
      <c r="RKN48" s="952"/>
      <c r="RKO48" s="952"/>
      <c r="RKP48" s="952"/>
      <c r="RKQ48" s="952"/>
      <c r="RKR48" s="952"/>
      <c r="RKS48" s="952"/>
      <c r="RKT48" s="952"/>
      <c r="RKU48" s="952"/>
      <c r="RKV48" s="952"/>
      <c r="RKW48" s="952"/>
      <c r="RKX48" s="952"/>
      <c r="RKY48" s="952"/>
      <c r="RKZ48" s="952"/>
      <c r="RLA48" s="952"/>
      <c r="RLB48" s="952"/>
      <c r="RLC48" s="952"/>
      <c r="RLD48" s="952"/>
      <c r="RLE48" s="952"/>
      <c r="RLF48" s="952"/>
      <c r="RLG48" s="952"/>
      <c r="RLH48" s="952"/>
      <c r="RLI48" s="952"/>
      <c r="RLJ48" s="952"/>
      <c r="RLK48" s="952"/>
      <c r="RLL48" s="952"/>
      <c r="RLM48" s="952"/>
      <c r="RLN48" s="952"/>
      <c r="RLO48" s="952"/>
      <c r="RLP48" s="952"/>
      <c r="RLQ48" s="952"/>
      <c r="RLR48" s="952"/>
      <c r="RLS48" s="952"/>
      <c r="RLT48" s="952"/>
      <c r="RLU48" s="952"/>
      <c r="RLV48" s="952"/>
      <c r="RLW48" s="952"/>
      <c r="RLX48" s="952"/>
      <c r="RLY48" s="952"/>
      <c r="RLZ48" s="952"/>
      <c r="RMA48" s="952"/>
      <c r="RMB48" s="952"/>
      <c r="RMC48" s="952"/>
      <c r="RMD48" s="952"/>
      <c r="RME48" s="952"/>
      <c r="RMF48" s="952"/>
      <c r="RMG48" s="952"/>
      <c r="RMH48" s="952"/>
      <c r="RMI48" s="952"/>
      <c r="RMJ48" s="952"/>
      <c r="RMK48" s="952"/>
      <c r="RML48" s="952"/>
      <c r="RMM48" s="952"/>
      <c r="RMN48" s="952"/>
      <c r="RMO48" s="952"/>
      <c r="RMP48" s="952"/>
      <c r="RMQ48" s="952"/>
      <c r="RMR48" s="952"/>
      <c r="RMS48" s="952"/>
      <c r="RMT48" s="952"/>
      <c r="RMU48" s="952"/>
      <c r="RMV48" s="952"/>
      <c r="RMW48" s="952"/>
      <c r="RMX48" s="952"/>
      <c r="RMY48" s="952"/>
      <c r="RMZ48" s="952"/>
      <c r="RNA48" s="952"/>
      <c r="RNB48" s="952"/>
      <c r="RNC48" s="952"/>
      <c r="RND48" s="952"/>
      <c r="RNE48" s="952"/>
      <c r="RNF48" s="952"/>
      <c r="RNG48" s="952"/>
      <c r="RNH48" s="952"/>
      <c r="RNI48" s="952"/>
      <c r="RNJ48" s="952"/>
      <c r="RNK48" s="952"/>
      <c r="RNL48" s="952"/>
      <c r="RNM48" s="952"/>
      <c r="RNN48" s="952"/>
      <c r="RNO48" s="952"/>
      <c r="RNP48" s="952"/>
      <c r="RNQ48" s="952"/>
      <c r="RNR48" s="952"/>
      <c r="RNS48" s="952"/>
      <c r="RNT48" s="952"/>
      <c r="RNU48" s="952"/>
      <c r="RNV48" s="952"/>
      <c r="RNW48" s="952"/>
      <c r="RNX48" s="952"/>
      <c r="RNY48" s="952"/>
      <c r="RNZ48" s="952"/>
      <c r="ROA48" s="952"/>
      <c r="ROB48" s="952"/>
      <c r="ROC48" s="952"/>
      <c r="ROD48" s="952"/>
      <c r="ROE48" s="952"/>
      <c r="ROF48" s="952"/>
      <c r="ROG48" s="952"/>
      <c r="ROH48" s="952"/>
      <c r="ROI48" s="952"/>
      <c r="ROJ48" s="952"/>
      <c r="ROK48" s="952"/>
      <c r="ROL48" s="952"/>
      <c r="ROM48" s="952"/>
      <c r="RON48" s="952"/>
      <c r="ROO48" s="952"/>
      <c r="ROP48" s="952"/>
      <c r="ROQ48" s="952"/>
      <c r="ROR48" s="952"/>
      <c r="ROS48" s="952"/>
      <c r="ROT48" s="952"/>
      <c r="ROU48" s="952"/>
      <c r="ROV48" s="952"/>
      <c r="ROW48" s="952"/>
      <c r="ROX48" s="952"/>
      <c r="ROY48" s="952"/>
      <c r="ROZ48" s="952"/>
      <c r="RPA48" s="952"/>
      <c r="RPB48" s="952"/>
      <c r="RPC48" s="952"/>
      <c r="RPD48" s="952"/>
      <c r="RPE48" s="952"/>
      <c r="RPF48" s="952"/>
      <c r="RPG48" s="952"/>
      <c r="RPH48" s="952"/>
      <c r="RPI48" s="952"/>
      <c r="RPJ48" s="952"/>
      <c r="RPK48" s="952"/>
      <c r="RPL48" s="952"/>
      <c r="RPM48" s="952"/>
      <c r="RPN48" s="952"/>
      <c r="RPO48" s="952"/>
      <c r="RPP48" s="952"/>
      <c r="RPQ48" s="952"/>
      <c r="RPR48" s="952"/>
      <c r="RPS48" s="952"/>
      <c r="RPT48" s="952"/>
      <c r="RPU48" s="952"/>
      <c r="RPV48" s="952"/>
      <c r="RPW48" s="952"/>
      <c r="RPX48" s="952"/>
      <c r="RPY48" s="952"/>
      <c r="RPZ48" s="952"/>
      <c r="RQA48" s="952"/>
      <c r="RQB48" s="952"/>
      <c r="RQC48" s="952"/>
      <c r="RQD48" s="952"/>
      <c r="RQE48" s="952"/>
      <c r="RQF48" s="952"/>
      <c r="RQG48" s="952"/>
      <c r="RQH48" s="952"/>
      <c r="RQI48" s="952"/>
      <c r="RQJ48" s="952"/>
      <c r="RQK48" s="952"/>
      <c r="RQL48" s="952"/>
      <c r="RQM48" s="952"/>
      <c r="RQN48" s="952"/>
      <c r="RQO48" s="952"/>
      <c r="RQP48" s="952"/>
      <c r="RQQ48" s="952"/>
      <c r="RQR48" s="952"/>
      <c r="RQS48" s="952"/>
      <c r="RQT48" s="952"/>
      <c r="RQU48" s="952"/>
      <c r="RQV48" s="952"/>
      <c r="RQW48" s="952"/>
      <c r="RQX48" s="952"/>
      <c r="RQY48" s="952"/>
      <c r="RQZ48" s="952"/>
      <c r="RRA48" s="952"/>
      <c r="RRB48" s="952"/>
      <c r="RRC48" s="952"/>
      <c r="RRD48" s="952"/>
      <c r="RRE48" s="952"/>
      <c r="RRF48" s="952"/>
      <c r="RRG48" s="952"/>
      <c r="RRH48" s="952"/>
      <c r="RRI48" s="952"/>
      <c r="RRJ48" s="952"/>
      <c r="RRK48" s="952"/>
      <c r="RRL48" s="952"/>
      <c r="RRM48" s="952"/>
      <c r="RRN48" s="952"/>
      <c r="RRO48" s="952"/>
      <c r="RRP48" s="952"/>
      <c r="RRQ48" s="952"/>
      <c r="RRR48" s="952"/>
      <c r="RRS48" s="952"/>
      <c r="RRT48" s="952"/>
      <c r="RRU48" s="952"/>
      <c r="RRV48" s="952"/>
      <c r="RRW48" s="952"/>
      <c r="RRX48" s="952"/>
      <c r="RRY48" s="952"/>
      <c r="RRZ48" s="952"/>
      <c r="RSA48" s="952"/>
      <c r="RSB48" s="952"/>
      <c r="RSC48" s="952"/>
      <c r="RSD48" s="952"/>
      <c r="RSE48" s="952"/>
      <c r="RSF48" s="952"/>
      <c r="RSG48" s="952"/>
      <c r="RSH48" s="952"/>
      <c r="RSI48" s="952"/>
      <c r="RSJ48" s="952"/>
      <c r="RSK48" s="952"/>
      <c r="RSL48" s="952"/>
      <c r="RSM48" s="952"/>
      <c r="RSN48" s="952"/>
      <c r="RSO48" s="952"/>
      <c r="RSP48" s="952"/>
      <c r="RSQ48" s="952"/>
      <c r="RSR48" s="952"/>
      <c r="RSS48" s="952"/>
      <c r="RST48" s="952"/>
      <c r="RSU48" s="952"/>
      <c r="RSV48" s="952"/>
      <c r="RSW48" s="952"/>
      <c r="RSX48" s="952"/>
      <c r="RSY48" s="952"/>
      <c r="RSZ48" s="952"/>
      <c r="RTA48" s="952"/>
      <c r="RTB48" s="952"/>
      <c r="RTC48" s="952"/>
      <c r="RTD48" s="952"/>
      <c r="RTE48" s="952"/>
      <c r="RTF48" s="952"/>
      <c r="RTG48" s="952"/>
      <c r="RTH48" s="952"/>
      <c r="RTI48" s="952"/>
      <c r="RTJ48" s="952"/>
      <c r="RTK48" s="952"/>
      <c r="RTL48" s="952"/>
      <c r="RTM48" s="952"/>
      <c r="RTN48" s="952"/>
      <c r="RTO48" s="952"/>
      <c r="RTP48" s="952"/>
      <c r="RTQ48" s="952"/>
      <c r="RTR48" s="952"/>
      <c r="RTS48" s="952"/>
      <c r="RTT48" s="952"/>
      <c r="RTU48" s="952"/>
      <c r="RTV48" s="952"/>
      <c r="RTW48" s="952"/>
      <c r="RTX48" s="952"/>
      <c r="RTY48" s="952"/>
      <c r="RTZ48" s="952"/>
      <c r="RUA48" s="952"/>
      <c r="RUB48" s="952"/>
      <c r="RUC48" s="952"/>
      <c r="RUD48" s="952"/>
      <c r="RUE48" s="952"/>
      <c r="RUF48" s="952"/>
      <c r="RUG48" s="952"/>
      <c r="RUH48" s="952"/>
      <c r="RUI48" s="952"/>
      <c r="RUJ48" s="952"/>
      <c r="RUK48" s="952"/>
      <c r="RUL48" s="952"/>
      <c r="RUM48" s="952"/>
      <c r="RUN48" s="952"/>
      <c r="RUO48" s="952"/>
      <c r="RUP48" s="952"/>
      <c r="RUQ48" s="952"/>
      <c r="RUR48" s="952"/>
      <c r="RUS48" s="952"/>
      <c r="RUT48" s="952"/>
      <c r="RUU48" s="952"/>
      <c r="RUV48" s="952"/>
      <c r="RUW48" s="952"/>
      <c r="RUX48" s="952"/>
      <c r="RUY48" s="952"/>
      <c r="RUZ48" s="952"/>
      <c r="RVA48" s="952"/>
      <c r="RVB48" s="952"/>
      <c r="RVC48" s="952"/>
      <c r="RVD48" s="952"/>
      <c r="RVE48" s="952"/>
      <c r="RVF48" s="952"/>
      <c r="RVG48" s="952"/>
      <c r="RVH48" s="952"/>
      <c r="RVI48" s="952"/>
      <c r="RVJ48" s="952"/>
      <c r="RVK48" s="952"/>
      <c r="RVL48" s="952"/>
      <c r="RVM48" s="952"/>
      <c r="RVN48" s="952"/>
      <c r="RVO48" s="952"/>
      <c r="RVP48" s="952"/>
      <c r="RVQ48" s="952"/>
      <c r="RVR48" s="952"/>
      <c r="RVS48" s="952"/>
      <c r="RVT48" s="952"/>
      <c r="RVU48" s="952"/>
      <c r="RVV48" s="952"/>
      <c r="RVW48" s="952"/>
      <c r="RVX48" s="952"/>
      <c r="RVY48" s="952"/>
      <c r="RVZ48" s="952"/>
      <c r="RWA48" s="952"/>
      <c r="RWB48" s="952"/>
      <c r="RWC48" s="952"/>
      <c r="RWD48" s="952"/>
      <c r="RWE48" s="952"/>
      <c r="RWF48" s="952"/>
      <c r="RWG48" s="952"/>
      <c r="RWH48" s="952"/>
      <c r="RWI48" s="952"/>
      <c r="RWJ48" s="952"/>
      <c r="RWK48" s="952"/>
      <c r="RWL48" s="952"/>
      <c r="RWM48" s="952"/>
      <c r="RWN48" s="952"/>
      <c r="RWO48" s="952"/>
      <c r="RWP48" s="952"/>
      <c r="RWQ48" s="952"/>
      <c r="RWR48" s="952"/>
      <c r="RWS48" s="952"/>
      <c r="RWT48" s="952"/>
      <c r="RWU48" s="952"/>
      <c r="RWV48" s="952"/>
      <c r="RWW48" s="952"/>
      <c r="RWX48" s="952"/>
      <c r="RWY48" s="952"/>
      <c r="RWZ48" s="952"/>
      <c r="RXA48" s="952"/>
      <c r="RXB48" s="952"/>
      <c r="RXC48" s="952"/>
      <c r="RXD48" s="952"/>
      <c r="RXE48" s="952"/>
      <c r="RXF48" s="952"/>
      <c r="RXG48" s="952"/>
      <c r="RXH48" s="952"/>
      <c r="RXI48" s="952"/>
      <c r="RXJ48" s="952"/>
      <c r="RXK48" s="952"/>
      <c r="RXL48" s="952"/>
      <c r="RXM48" s="952"/>
      <c r="RXN48" s="952"/>
      <c r="RXO48" s="952"/>
      <c r="RXP48" s="952"/>
      <c r="RXQ48" s="952"/>
      <c r="RXR48" s="952"/>
      <c r="RXS48" s="952"/>
      <c r="RXT48" s="952"/>
      <c r="RXU48" s="952"/>
      <c r="RXV48" s="952"/>
      <c r="RXW48" s="952"/>
      <c r="RXX48" s="952"/>
      <c r="RXY48" s="952"/>
      <c r="RXZ48" s="952"/>
      <c r="RYA48" s="952"/>
      <c r="RYB48" s="952"/>
      <c r="RYC48" s="952"/>
      <c r="RYD48" s="952"/>
      <c r="RYE48" s="952"/>
      <c r="RYF48" s="952"/>
      <c r="RYG48" s="952"/>
      <c r="RYH48" s="952"/>
      <c r="RYI48" s="952"/>
      <c r="RYJ48" s="952"/>
      <c r="RYK48" s="952"/>
      <c r="RYL48" s="952"/>
      <c r="RYM48" s="952"/>
      <c r="RYN48" s="952"/>
      <c r="RYO48" s="952"/>
      <c r="RYP48" s="952"/>
      <c r="RYQ48" s="952"/>
      <c r="RYR48" s="952"/>
      <c r="RYS48" s="952"/>
      <c r="RYT48" s="952"/>
      <c r="RYU48" s="952"/>
      <c r="RYV48" s="952"/>
      <c r="RYW48" s="952"/>
      <c r="RYX48" s="952"/>
      <c r="RYY48" s="952"/>
      <c r="RYZ48" s="952"/>
      <c r="RZA48" s="952"/>
      <c r="RZB48" s="952"/>
      <c r="RZC48" s="952"/>
      <c r="RZD48" s="952"/>
      <c r="RZE48" s="952"/>
      <c r="RZF48" s="952"/>
      <c r="RZG48" s="952"/>
      <c r="RZH48" s="952"/>
      <c r="RZI48" s="952"/>
      <c r="RZJ48" s="952"/>
      <c r="RZK48" s="952"/>
      <c r="RZL48" s="952"/>
      <c r="RZM48" s="952"/>
      <c r="RZN48" s="952"/>
      <c r="RZO48" s="952"/>
      <c r="RZP48" s="952"/>
      <c r="RZQ48" s="952"/>
      <c r="RZR48" s="952"/>
      <c r="RZS48" s="952"/>
      <c r="RZT48" s="952"/>
      <c r="RZU48" s="952"/>
      <c r="RZV48" s="952"/>
      <c r="RZW48" s="952"/>
      <c r="RZX48" s="952"/>
      <c r="RZY48" s="952"/>
      <c r="RZZ48" s="952"/>
      <c r="SAA48" s="952"/>
      <c r="SAB48" s="952"/>
      <c r="SAC48" s="952"/>
      <c r="SAD48" s="952"/>
      <c r="SAE48" s="952"/>
      <c r="SAF48" s="952"/>
      <c r="SAG48" s="952"/>
      <c r="SAH48" s="952"/>
      <c r="SAI48" s="952"/>
      <c r="SAJ48" s="952"/>
      <c r="SAK48" s="952"/>
      <c r="SAL48" s="952"/>
      <c r="SAM48" s="952"/>
      <c r="SAN48" s="952"/>
      <c r="SAO48" s="952"/>
      <c r="SAP48" s="952"/>
      <c r="SAQ48" s="952"/>
      <c r="SAR48" s="952"/>
      <c r="SAS48" s="952"/>
      <c r="SAT48" s="952"/>
      <c r="SAU48" s="952"/>
      <c r="SAV48" s="952"/>
      <c r="SAW48" s="952"/>
      <c r="SAX48" s="952"/>
      <c r="SAY48" s="952"/>
      <c r="SAZ48" s="952"/>
      <c r="SBA48" s="952"/>
      <c r="SBB48" s="952"/>
      <c r="SBC48" s="952"/>
      <c r="SBD48" s="952"/>
      <c r="SBE48" s="952"/>
      <c r="SBF48" s="952"/>
      <c r="SBG48" s="952"/>
      <c r="SBH48" s="952"/>
      <c r="SBI48" s="952"/>
      <c r="SBJ48" s="952"/>
      <c r="SBK48" s="952"/>
      <c r="SBL48" s="952"/>
      <c r="SBM48" s="952"/>
      <c r="SBN48" s="952"/>
      <c r="SBO48" s="952"/>
      <c r="SBP48" s="952"/>
      <c r="SBQ48" s="952"/>
      <c r="SBR48" s="952"/>
      <c r="SBS48" s="952"/>
      <c r="SBT48" s="952"/>
      <c r="SBU48" s="952"/>
      <c r="SBV48" s="952"/>
      <c r="SBW48" s="952"/>
      <c r="SBX48" s="952"/>
      <c r="SBY48" s="952"/>
      <c r="SBZ48" s="952"/>
      <c r="SCA48" s="952"/>
      <c r="SCB48" s="952"/>
      <c r="SCC48" s="952"/>
      <c r="SCD48" s="952"/>
      <c r="SCE48" s="952"/>
      <c r="SCF48" s="952"/>
      <c r="SCG48" s="952"/>
      <c r="SCH48" s="952"/>
      <c r="SCI48" s="952"/>
      <c r="SCJ48" s="952"/>
      <c r="SCK48" s="952"/>
      <c r="SCL48" s="952"/>
      <c r="SCM48" s="952"/>
      <c r="SCN48" s="952"/>
      <c r="SCO48" s="952"/>
      <c r="SCP48" s="952"/>
      <c r="SCQ48" s="952"/>
      <c r="SCR48" s="952"/>
      <c r="SCS48" s="952"/>
      <c r="SCT48" s="952"/>
      <c r="SCU48" s="952"/>
      <c r="SCV48" s="952"/>
      <c r="SCW48" s="952"/>
      <c r="SCX48" s="952"/>
      <c r="SCY48" s="952"/>
      <c r="SCZ48" s="952"/>
      <c r="SDA48" s="952"/>
      <c r="SDB48" s="952"/>
      <c r="SDC48" s="952"/>
      <c r="SDD48" s="952"/>
      <c r="SDE48" s="952"/>
      <c r="SDF48" s="952"/>
      <c r="SDG48" s="952"/>
      <c r="SDH48" s="952"/>
      <c r="SDI48" s="952"/>
      <c r="SDJ48" s="952"/>
      <c r="SDK48" s="952"/>
      <c r="SDL48" s="952"/>
      <c r="SDM48" s="952"/>
      <c r="SDN48" s="952"/>
      <c r="SDO48" s="952"/>
      <c r="SDP48" s="952"/>
      <c r="SDQ48" s="952"/>
      <c r="SDR48" s="952"/>
      <c r="SDS48" s="952"/>
      <c r="SDT48" s="952"/>
      <c r="SDU48" s="952"/>
      <c r="SDV48" s="952"/>
      <c r="SDW48" s="952"/>
      <c r="SDX48" s="952"/>
      <c r="SDY48" s="952"/>
      <c r="SDZ48" s="952"/>
      <c r="SEA48" s="952"/>
      <c r="SEB48" s="952"/>
      <c r="SEC48" s="952"/>
      <c r="SED48" s="952"/>
      <c r="SEE48" s="952"/>
      <c r="SEF48" s="952"/>
      <c r="SEG48" s="952"/>
      <c r="SEH48" s="952"/>
      <c r="SEI48" s="952"/>
      <c r="SEJ48" s="952"/>
      <c r="SEK48" s="952"/>
      <c r="SEL48" s="952"/>
      <c r="SEM48" s="952"/>
      <c r="SEN48" s="952"/>
      <c r="SEO48" s="952"/>
      <c r="SEP48" s="952"/>
      <c r="SEQ48" s="952"/>
      <c r="SER48" s="952"/>
      <c r="SES48" s="952"/>
      <c r="SET48" s="952"/>
      <c r="SEU48" s="952"/>
      <c r="SEV48" s="952"/>
      <c r="SEW48" s="952"/>
      <c r="SEX48" s="952"/>
      <c r="SEY48" s="952"/>
      <c r="SEZ48" s="952"/>
      <c r="SFA48" s="952"/>
      <c r="SFB48" s="952"/>
      <c r="SFC48" s="952"/>
      <c r="SFD48" s="952"/>
      <c r="SFE48" s="952"/>
      <c r="SFF48" s="952"/>
      <c r="SFG48" s="952"/>
      <c r="SFH48" s="952"/>
      <c r="SFI48" s="952"/>
      <c r="SFJ48" s="952"/>
      <c r="SFK48" s="952"/>
      <c r="SFL48" s="952"/>
      <c r="SFM48" s="952"/>
      <c r="SFN48" s="952"/>
      <c r="SFO48" s="952"/>
      <c r="SFP48" s="952"/>
      <c r="SFQ48" s="952"/>
      <c r="SFR48" s="952"/>
      <c r="SFS48" s="952"/>
      <c r="SFT48" s="952"/>
      <c r="SFU48" s="952"/>
      <c r="SFV48" s="952"/>
      <c r="SFW48" s="952"/>
      <c r="SFX48" s="952"/>
      <c r="SFY48" s="952"/>
      <c r="SFZ48" s="952"/>
      <c r="SGA48" s="952"/>
      <c r="SGB48" s="952"/>
      <c r="SGC48" s="952"/>
      <c r="SGD48" s="952"/>
      <c r="SGE48" s="952"/>
      <c r="SGF48" s="952"/>
      <c r="SGG48" s="952"/>
      <c r="SGH48" s="952"/>
      <c r="SGI48" s="952"/>
      <c r="SGJ48" s="952"/>
      <c r="SGK48" s="952"/>
      <c r="SGL48" s="952"/>
      <c r="SGM48" s="952"/>
      <c r="SGN48" s="952"/>
      <c r="SGO48" s="952"/>
      <c r="SGP48" s="952"/>
      <c r="SGQ48" s="952"/>
      <c r="SGR48" s="952"/>
      <c r="SGS48" s="952"/>
      <c r="SGT48" s="952"/>
      <c r="SGU48" s="952"/>
      <c r="SGV48" s="952"/>
      <c r="SGW48" s="952"/>
      <c r="SGX48" s="952"/>
      <c r="SGY48" s="952"/>
      <c r="SGZ48" s="952"/>
      <c r="SHA48" s="952"/>
      <c r="SHB48" s="952"/>
      <c r="SHC48" s="952"/>
      <c r="SHD48" s="952"/>
      <c r="SHE48" s="952"/>
      <c r="SHF48" s="952"/>
      <c r="SHG48" s="952"/>
      <c r="SHH48" s="952"/>
      <c r="SHI48" s="952"/>
      <c r="SHJ48" s="952"/>
      <c r="SHK48" s="952"/>
      <c r="SHL48" s="952"/>
      <c r="SHM48" s="952"/>
      <c r="SHN48" s="952"/>
      <c r="SHO48" s="952"/>
      <c r="SHP48" s="952"/>
      <c r="SHQ48" s="952"/>
      <c r="SHR48" s="952"/>
      <c r="SHS48" s="952"/>
      <c r="SHT48" s="952"/>
      <c r="SHU48" s="952"/>
      <c r="SHV48" s="952"/>
      <c r="SHW48" s="952"/>
      <c r="SHX48" s="952"/>
      <c r="SHY48" s="952"/>
      <c r="SHZ48" s="952"/>
      <c r="SIA48" s="952"/>
      <c r="SIB48" s="952"/>
      <c r="SIC48" s="952"/>
      <c r="SID48" s="952"/>
      <c r="SIE48" s="952"/>
      <c r="SIF48" s="952"/>
      <c r="SIG48" s="952"/>
      <c r="SIH48" s="952"/>
      <c r="SII48" s="952"/>
      <c r="SIJ48" s="952"/>
      <c r="SIK48" s="952"/>
      <c r="SIL48" s="952"/>
      <c r="SIM48" s="952"/>
      <c r="SIN48" s="952"/>
      <c r="SIO48" s="952"/>
      <c r="SIP48" s="952"/>
      <c r="SIQ48" s="952"/>
      <c r="SIR48" s="952"/>
      <c r="SIS48" s="952"/>
      <c r="SIT48" s="952"/>
      <c r="SIU48" s="952"/>
      <c r="SIV48" s="952"/>
      <c r="SIW48" s="952"/>
      <c r="SIX48" s="952"/>
      <c r="SIY48" s="952"/>
      <c r="SIZ48" s="952"/>
      <c r="SJA48" s="952"/>
      <c r="SJB48" s="952"/>
      <c r="SJC48" s="952"/>
      <c r="SJD48" s="952"/>
      <c r="SJE48" s="952"/>
      <c r="SJF48" s="952"/>
      <c r="SJG48" s="952"/>
      <c r="SJH48" s="952"/>
      <c r="SJI48" s="952"/>
      <c r="SJJ48" s="952"/>
      <c r="SJK48" s="952"/>
      <c r="SJL48" s="952"/>
      <c r="SJM48" s="952"/>
      <c r="SJN48" s="952"/>
      <c r="SJO48" s="952"/>
      <c r="SJP48" s="952"/>
      <c r="SJQ48" s="952"/>
      <c r="SJR48" s="952"/>
      <c r="SJS48" s="952"/>
      <c r="SJT48" s="952"/>
      <c r="SJU48" s="952"/>
      <c r="SJV48" s="952"/>
      <c r="SJW48" s="952"/>
      <c r="SJX48" s="952"/>
      <c r="SJY48" s="952"/>
      <c r="SJZ48" s="952"/>
      <c r="SKA48" s="952"/>
      <c r="SKB48" s="952"/>
      <c r="SKC48" s="952"/>
      <c r="SKD48" s="952"/>
      <c r="SKE48" s="952"/>
      <c r="SKF48" s="952"/>
      <c r="SKG48" s="952"/>
      <c r="SKH48" s="952"/>
      <c r="SKI48" s="952"/>
      <c r="SKJ48" s="952"/>
      <c r="SKK48" s="952"/>
      <c r="SKL48" s="952"/>
      <c r="SKM48" s="952"/>
      <c r="SKN48" s="952"/>
      <c r="SKO48" s="952"/>
      <c r="SKP48" s="952"/>
      <c r="SKQ48" s="952"/>
      <c r="SKR48" s="952"/>
      <c r="SKS48" s="952"/>
      <c r="SKT48" s="952"/>
      <c r="SKU48" s="952"/>
      <c r="SKV48" s="952"/>
      <c r="SKW48" s="952"/>
      <c r="SKX48" s="952"/>
      <c r="SKY48" s="952"/>
      <c r="SKZ48" s="952"/>
      <c r="SLA48" s="952"/>
      <c r="SLB48" s="952"/>
      <c r="SLC48" s="952"/>
      <c r="SLD48" s="952"/>
      <c r="SLE48" s="952"/>
      <c r="SLF48" s="952"/>
      <c r="SLG48" s="952"/>
      <c r="SLH48" s="952"/>
      <c r="SLI48" s="952"/>
      <c r="SLJ48" s="952"/>
      <c r="SLK48" s="952"/>
      <c r="SLL48" s="952"/>
      <c r="SLM48" s="952"/>
      <c r="SLN48" s="952"/>
      <c r="SLO48" s="952"/>
      <c r="SLP48" s="952"/>
      <c r="SLQ48" s="952"/>
      <c r="SLR48" s="952"/>
      <c r="SLS48" s="952"/>
      <c r="SLT48" s="952"/>
      <c r="SLU48" s="952"/>
      <c r="SLV48" s="952"/>
      <c r="SLW48" s="952"/>
      <c r="SLX48" s="952"/>
      <c r="SLY48" s="952"/>
      <c r="SLZ48" s="952"/>
      <c r="SMA48" s="952"/>
      <c r="SMB48" s="952"/>
      <c r="SMC48" s="952"/>
      <c r="SMD48" s="952"/>
      <c r="SME48" s="952"/>
      <c r="SMF48" s="952"/>
      <c r="SMG48" s="952"/>
      <c r="SMH48" s="952"/>
      <c r="SMI48" s="952"/>
      <c r="SMJ48" s="952"/>
      <c r="SMK48" s="952"/>
      <c r="SML48" s="952"/>
      <c r="SMM48" s="952"/>
      <c r="SMN48" s="952"/>
      <c r="SMO48" s="952"/>
      <c r="SMP48" s="952"/>
      <c r="SMQ48" s="952"/>
      <c r="SMR48" s="952"/>
      <c r="SMS48" s="952"/>
      <c r="SMT48" s="952"/>
      <c r="SMU48" s="952"/>
      <c r="SMV48" s="952"/>
      <c r="SMW48" s="952"/>
      <c r="SMX48" s="952"/>
      <c r="SMY48" s="952"/>
      <c r="SMZ48" s="952"/>
      <c r="SNA48" s="952"/>
      <c r="SNB48" s="952"/>
      <c r="SNC48" s="952"/>
      <c r="SND48" s="952"/>
      <c r="SNE48" s="952"/>
      <c r="SNF48" s="952"/>
      <c r="SNG48" s="952"/>
      <c r="SNH48" s="952"/>
      <c r="SNI48" s="952"/>
      <c r="SNJ48" s="952"/>
      <c r="SNK48" s="952"/>
      <c r="SNL48" s="952"/>
      <c r="SNM48" s="952"/>
      <c r="SNN48" s="952"/>
      <c r="SNO48" s="952"/>
      <c r="SNP48" s="952"/>
      <c r="SNQ48" s="952"/>
      <c r="SNR48" s="952"/>
      <c r="SNS48" s="952"/>
      <c r="SNT48" s="952"/>
      <c r="SNU48" s="952"/>
      <c r="SNV48" s="952"/>
      <c r="SNW48" s="952"/>
      <c r="SNX48" s="952"/>
      <c r="SNY48" s="952"/>
      <c r="SNZ48" s="952"/>
      <c r="SOA48" s="952"/>
      <c r="SOB48" s="952"/>
      <c r="SOC48" s="952"/>
      <c r="SOD48" s="952"/>
      <c r="SOE48" s="952"/>
      <c r="SOF48" s="952"/>
      <c r="SOG48" s="952"/>
      <c r="SOH48" s="952"/>
      <c r="SOI48" s="952"/>
      <c r="SOJ48" s="952"/>
      <c r="SOK48" s="952"/>
      <c r="SOL48" s="952"/>
      <c r="SOM48" s="952"/>
      <c r="SON48" s="952"/>
      <c r="SOO48" s="952"/>
      <c r="SOP48" s="952"/>
      <c r="SOQ48" s="952"/>
      <c r="SOR48" s="952"/>
      <c r="SOS48" s="952"/>
      <c r="SOT48" s="952"/>
      <c r="SOU48" s="952"/>
      <c r="SOV48" s="952"/>
      <c r="SOW48" s="952"/>
      <c r="SOX48" s="952"/>
      <c r="SOY48" s="952"/>
      <c r="SOZ48" s="952"/>
      <c r="SPA48" s="952"/>
      <c r="SPB48" s="952"/>
      <c r="SPC48" s="952"/>
      <c r="SPD48" s="952"/>
      <c r="SPE48" s="952"/>
      <c r="SPF48" s="952"/>
      <c r="SPG48" s="952"/>
      <c r="SPH48" s="952"/>
      <c r="SPI48" s="952"/>
      <c r="SPJ48" s="952"/>
      <c r="SPK48" s="952"/>
      <c r="SPL48" s="952"/>
      <c r="SPM48" s="952"/>
      <c r="SPN48" s="952"/>
      <c r="SPO48" s="952"/>
      <c r="SPP48" s="952"/>
      <c r="SPQ48" s="952"/>
      <c r="SPR48" s="952"/>
      <c r="SPS48" s="952"/>
      <c r="SPT48" s="952"/>
      <c r="SPU48" s="952"/>
      <c r="SPV48" s="952"/>
      <c r="SPW48" s="952"/>
      <c r="SPX48" s="952"/>
      <c r="SPY48" s="952"/>
      <c r="SPZ48" s="952"/>
      <c r="SQA48" s="952"/>
      <c r="SQB48" s="952"/>
      <c r="SQC48" s="952"/>
      <c r="SQD48" s="952"/>
      <c r="SQE48" s="952"/>
      <c r="SQF48" s="952"/>
      <c r="SQG48" s="952"/>
      <c r="SQH48" s="952"/>
      <c r="SQI48" s="952"/>
      <c r="SQJ48" s="952"/>
      <c r="SQK48" s="952"/>
      <c r="SQL48" s="952"/>
      <c r="SQM48" s="952"/>
      <c r="SQN48" s="952"/>
      <c r="SQO48" s="952"/>
      <c r="SQP48" s="952"/>
      <c r="SQQ48" s="952"/>
      <c r="SQR48" s="952"/>
      <c r="SQS48" s="952"/>
      <c r="SQT48" s="952"/>
      <c r="SQU48" s="952"/>
      <c r="SQV48" s="952"/>
      <c r="SQW48" s="952"/>
      <c r="SQX48" s="952"/>
      <c r="SQY48" s="952"/>
      <c r="SQZ48" s="952"/>
      <c r="SRA48" s="952"/>
      <c r="SRB48" s="952"/>
      <c r="SRC48" s="952"/>
      <c r="SRD48" s="952"/>
      <c r="SRE48" s="952"/>
      <c r="SRF48" s="952"/>
      <c r="SRG48" s="952"/>
      <c r="SRH48" s="952"/>
      <c r="SRI48" s="952"/>
      <c r="SRJ48" s="952"/>
      <c r="SRK48" s="952"/>
      <c r="SRL48" s="952"/>
      <c r="SRM48" s="952"/>
      <c r="SRN48" s="952"/>
      <c r="SRO48" s="952"/>
      <c r="SRP48" s="952"/>
      <c r="SRQ48" s="952"/>
      <c r="SRR48" s="952"/>
      <c r="SRS48" s="952"/>
      <c r="SRT48" s="952"/>
      <c r="SRU48" s="952"/>
      <c r="SRV48" s="952"/>
      <c r="SRW48" s="952"/>
      <c r="SRX48" s="952"/>
      <c r="SRY48" s="952"/>
      <c r="SRZ48" s="952"/>
      <c r="SSA48" s="952"/>
      <c r="SSB48" s="952"/>
      <c r="SSC48" s="952"/>
      <c r="SSD48" s="952"/>
      <c r="SSE48" s="952"/>
      <c r="SSF48" s="952"/>
      <c r="SSG48" s="952"/>
      <c r="SSH48" s="952"/>
      <c r="SSI48" s="952"/>
      <c r="SSJ48" s="952"/>
      <c r="SSK48" s="952"/>
      <c r="SSL48" s="952"/>
      <c r="SSM48" s="952"/>
      <c r="SSN48" s="952"/>
      <c r="SSO48" s="952"/>
      <c r="SSP48" s="952"/>
      <c r="SSQ48" s="952"/>
      <c r="SSR48" s="952"/>
      <c r="SSS48" s="952"/>
      <c r="SST48" s="952"/>
      <c r="SSU48" s="952"/>
      <c r="SSV48" s="952"/>
      <c r="SSW48" s="952"/>
      <c r="SSX48" s="952"/>
      <c r="SSY48" s="952"/>
      <c r="SSZ48" s="952"/>
      <c r="STA48" s="952"/>
      <c r="STB48" s="952"/>
      <c r="STC48" s="952"/>
      <c r="STD48" s="952"/>
      <c r="STE48" s="952"/>
      <c r="STF48" s="952"/>
      <c r="STG48" s="952"/>
      <c r="STH48" s="952"/>
      <c r="STI48" s="952"/>
      <c r="STJ48" s="952"/>
      <c r="STK48" s="952"/>
      <c r="STL48" s="952"/>
      <c r="STM48" s="952"/>
      <c r="STN48" s="952"/>
      <c r="STO48" s="952"/>
      <c r="STP48" s="952"/>
      <c r="STQ48" s="952"/>
      <c r="STR48" s="952"/>
      <c r="STS48" s="952"/>
      <c r="STT48" s="952"/>
      <c r="STU48" s="952"/>
      <c r="STV48" s="952"/>
      <c r="STW48" s="952"/>
      <c r="STX48" s="952"/>
      <c r="STY48" s="952"/>
      <c r="STZ48" s="952"/>
      <c r="SUA48" s="952"/>
      <c r="SUB48" s="952"/>
      <c r="SUC48" s="952"/>
      <c r="SUD48" s="952"/>
      <c r="SUE48" s="952"/>
      <c r="SUF48" s="952"/>
      <c r="SUG48" s="952"/>
      <c r="SUH48" s="952"/>
      <c r="SUI48" s="952"/>
      <c r="SUJ48" s="952"/>
      <c r="SUK48" s="952"/>
      <c r="SUL48" s="952"/>
      <c r="SUM48" s="952"/>
      <c r="SUN48" s="952"/>
      <c r="SUO48" s="952"/>
      <c r="SUP48" s="952"/>
      <c r="SUQ48" s="952"/>
      <c r="SUR48" s="952"/>
      <c r="SUS48" s="952"/>
      <c r="SUT48" s="952"/>
      <c r="SUU48" s="952"/>
      <c r="SUV48" s="952"/>
      <c r="SUW48" s="952"/>
      <c r="SUX48" s="952"/>
      <c r="SUY48" s="952"/>
      <c r="SUZ48" s="952"/>
      <c r="SVA48" s="952"/>
      <c r="SVB48" s="952"/>
      <c r="SVC48" s="952"/>
      <c r="SVD48" s="952"/>
      <c r="SVE48" s="952"/>
      <c r="SVF48" s="952"/>
      <c r="SVG48" s="952"/>
      <c r="SVH48" s="952"/>
      <c r="SVI48" s="952"/>
      <c r="SVJ48" s="952"/>
      <c r="SVK48" s="952"/>
      <c r="SVL48" s="952"/>
      <c r="SVM48" s="952"/>
      <c r="SVN48" s="952"/>
      <c r="SVO48" s="952"/>
      <c r="SVP48" s="952"/>
      <c r="SVQ48" s="952"/>
      <c r="SVR48" s="952"/>
      <c r="SVS48" s="952"/>
      <c r="SVT48" s="952"/>
      <c r="SVU48" s="952"/>
      <c r="SVV48" s="952"/>
      <c r="SVW48" s="952"/>
      <c r="SVX48" s="952"/>
      <c r="SVY48" s="952"/>
      <c r="SVZ48" s="952"/>
      <c r="SWA48" s="952"/>
      <c r="SWB48" s="952"/>
      <c r="SWC48" s="952"/>
      <c r="SWD48" s="952"/>
      <c r="SWE48" s="952"/>
      <c r="SWF48" s="952"/>
      <c r="SWG48" s="952"/>
      <c r="SWH48" s="952"/>
      <c r="SWI48" s="952"/>
      <c r="SWJ48" s="952"/>
      <c r="SWK48" s="952"/>
      <c r="SWL48" s="952"/>
      <c r="SWM48" s="952"/>
      <c r="SWN48" s="952"/>
      <c r="SWO48" s="952"/>
      <c r="SWP48" s="952"/>
      <c r="SWQ48" s="952"/>
      <c r="SWR48" s="952"/>
      <c r="SWS48" s="952"/>
      <c r="SWT48" s="952"/>
      <c r="SWU48" s="952"/>
      <c r="SWV48" s="952"/>
      <c r="SWW48" s="952"/>
      <c r="SWX48" s="952"/>
      <c r="SWY48" s="952"/>
      <c r="SWZ48" s="952"/>
      <c r="SXA48" s="952"/>
      <c r="SXB48" s="952"/>
      <c r="SXC48" s="952"/>
      <c r="SXD48" s="952"/>
      <c r="SXE48" s="952"/>
      <c r="SXF48" s="952"/>
      <c r="SXG48" s="952"/>
      <c r="SXH48" s="952"/>
      <c r="SXI48" s="952"/>
      <c r="SXJ48" s="952"/>
      <c r="SXK48" s="952"/>
      <c r="SXL48" s="952"/>
      <c r="SXM48" s="952"/>
      <c r="SXN48" s="952"/>
      <c r="SXO48" s="952"/>
      <c r="SXP48" s="952"/>
      <c r="SXQ48" s="952"/>
      <c r="SXR48" s="952"/>
      <c r="SXS48" s="952"/>
      <c r="SXT48" s="952"/>
      <c r="SXU48" s="952"/>
      <c r="SXV48" s="952"/>
      <c r="SXW48" s="952"/>
      <c r="SXX48" s="952"/>
      <c r="SXY48" s="952"/>
      <c r="SXZ48" s="952"/>
      <c r="SYA48" s="952"/>
      <c r="SYB48" s="952"/>
      <c r="SYC48" s="952"/>
      <c r="SYD48" s="952"/>
      <c r="SYE48" s="952"/>
      <c r="SYF48" s="952"/>
      <c r="SYG48" s="952"/>
      <c r="SYH48" s="952"/>
      <c r="SYI48" s="952"/>
      <c r="SYJ48" s="952"/>
      <c r="SYK48" s="952"/>
      <c r="SYL48" s="952"/>
      <c r="SYM48" s="952"/>
      <c r="SYN48" s="952"/>
      <c r="SYO48" s="952"/>
      <c r="SYP48" s="952"/>
      <c r="SYQ48" s="952"/>
      <c r="SYR48" s="952"/>
      <c r="SYS48" s="952"/>
      <c r="SYT48" s="952"/>
      <c r="SYU48" s="952"/>
      <c r="SYV48" s="952"/>
      <c r="SYW48" s="952"/>
      <c r="SYX48" s="952"/>
      <c r="SYY48" s="952"/>
      <c r="SYZ48" s="952"/>
      <c r="SZA48" s="952"/>
      <c r="SZB48" s="952"/>
      <c r="SZC48" s="952"/>
      <c r="SZD48" s="952"/>
      <c r="SZE48" s="952"/>
      <c r="SZF48" s="952"/>
      <c r="SZG48" s="952"/>
      <c r="SZH48" s="952"/>
      <c r="SZI48" s="952"/>
      <c r="SZJ48" s="952"/>
      <c r="SZK48" s="952"/>
      <c r="SZL48" s="952"/>
      <c r="SZM48" s="952"/>
      <c r="SZN48" s="952"/>
      <c r="SZO48" s="952"/>
      <c r="SZP48" s="952"/>
      <c r="SZQ48" s="952"/>
      <c r="SZR48" s="952"/>
      <c r="SZS48" s="952"/>
      <c r="SZT48" s="952"/>
      <c r="SZU48" s="952"/>
      <c r="SZV48" s="952"/>
      <c r="SZW48" s="952"/>
      <c r="SZX48" s="952"/>
      <c r="SZY48" s="952"/>
      <c r="SZZ48" s="952"/>
      <c r="TAA48" s="952"/>
      <c r="TAB48" s="952"/>
      <c r="TAC48" s="952"/>
      <c r="TAD48" s="952"/>
      <c r="TAE48" s="952"/>
      <c r="TAF48" s="952"/>
      <c r="TAG48" s="952"/>
      <c r="TAH48" s="952"/>
      <c r="TAI48" s="952"/>
      <c r="TAJ48" s="952"/>
      <c r="TAK48" s="952"/>
      <c r="TAL48" s="952"/>
      <c r="TAM48" s="952"/>
      <c r="TAN48" s="952"/>
      <c r="TAO48" s="952"/>
      <c r="TAP48" s="952"/>
      <c r="TAQ48" s="952"/>
      <c r="TAR48" s="952"/>
      <c r="TAS48" s="952"/>
      <c r="TAT48" s="952"/>
      <c r="TAU48" s="952"/>
      <c r="TAV48" s="952"/>
      <c r="TAW48" s="952"/>
      <c r="TAX48" s="952"/>
      <c r="TAY48" s="952"/>
      <c r="TAZ48" s="952"/>
      <c r="TBA48" s="952"/>
      <c r="TBB48" s="952"/>
      <c r="TBC48" s="952"/>
      <c r="TBD48" s="952"/>
      <c r="TBE48" s="952"/>
      <c r="TBF48" s="952"/>
      <c r="TBG48" s="952"/>
      <c r="TBH48" s="952"/>
      <c r="TBI48" s="952"/>
      <c r="TBJ48" s="952"/>
      <c r="TBK48" s="952"/>
      <c r="TBL48" s="952"/>
      <c r="TBM48" s="952"/>
      <c r="TBN48" s="952"/>
      <c r="TBO48" s="952"/>
      <c r="TBP48" s="952"/>
      <c r="TBQ48" s="952"/>
      <c r="TBR48" s="952"/>
      <c r="TBS48" s="952"/>
      <c r="TBT48" s="952"/>
      <c r="TBU48" s="952"/>
      <c r="TBV48" s="952"/>
      <c r="TBW48" s="952"/>
      <c r="TBX48" s="952"/>
      <c r="TBY48" s="952"/>
      <c r="TBZ48" s="952"/>
      <c r="TCA48" s="952"/>
      <c r="TCB48" s="952"/>
      <c r="TCC48" s="952"/>
      <c r="TCD48" s="952"/>
      <c r="TCE48" s="952"/>
      <c r="TCF48" s="952"/>
      <c r="TCG48" s="952"/>
      <c r="TCH48" s="952"/>
      <c r="TCI48" s="952"/>
      <c r="TCJ48" s="952"/>
      <c r="TCK48" s="952"/>
      <c r="TCL48" s="952"/>
      <c r="TCM48" s="952"/>
      <c r="TCN48" s="952"/>
      <c r="TCO48" s="952"/>
      <c r="TCP48" s="952"/>
      <c r="TCQ48" s="952"/>
      <c r="TCR48" s="952"/>
      <c r="TCS48" s="952"/>
      <c r="TCT48" s="952"/>
      <c r="TCU48" s="952"/>
      <c r="TCV48" s="952"/>
      <c r="TCW48" s="952"/>
      <c r="TCX48" s="952"/>
      <c r="TCY48" s="952"/>
      <c r="TCZ48" s="952"/>
      <c r="TDA48" s="952"/>
      <c r="TDB48" s="952"/>
      <c r="TDC48" s="952"/>
      <c r="TDD48" s="952"/>
      <c r="TDE48" s="952"/>
      <c r="TDF48" s="952"/>
      <c r="TDG48" s="952"/>
      <c r="TDH48" s="952"/>
      <c r="TDI48" s="952"/>
      <c r="TDJ48" s="952"/>
      <c r="TDK48" s="952"/>
      <c r="TDL48" s="952"/>
      <c r="TDM48" s="952"/>
      <c r="TDN48" s="952"/>
      <c r="TDO48" s="952"/>
      <c r="TDP48" s="952"/>
      <c r="TDQ48" s="952"/>
      <c r="TDR48" s="952"/>
      <c r="TDS48" s="952"/>
      <c r="TDT48" s="952"/>
      <c r="TDU48" s="952"/>
      <c r="TDV48" s="952"/>
      <c r="TDW48" s="952"/>
      <c r="TDX48" s="952"/>
      <c r="TDY48" s="952"/>
      <c r="TDZ48" s="952"/>
      <c r="TEA48" s="952"/>
      <c r="TEB48" s="952"/>
      <c r="TEC48" s="952"/>
      <c r="TED48" s="952"/>
      <c r="TEE48" s="952"/>
      <c r="TEF48" s="952"/>
      <c r="TEG48" s="952"/>
      <c r="TEH48" s="952"/>
      <c r="TEI48" s="952"/>
      <c r="TEJ48" s="952"/>
      <c r="TEK48" s="952"/>
      <c r="TEL48" s="952"/>
      <c r="TEM48" s="952"/>
      <c r="TEN48" s="952"/>
      <c r="TEO48" s="952"/>
      <c r="TEP48" s="952"/>
      <c r="TEQ48" s="952"/>
      <c r="TER48" s="952"/>
      <c r="TES48" s="952"/>
      <c r="TET48" s="952"/>
      <c r="TEU48" s="952"/>
      <c r="TEV48" s="952"/>
      <c r="TEW48" s="952"/>
      <c r="TEX48" s="952"/>
      <c r="TEY48" s="952"/>
      <c r="TEZ48" s="952"/>
      <c r="TFA48" s="952"/>
      <c r="TFB48" s="952"/>
      <c r="TFC48" s="952"/>
      <c r="TFD48" s="952"/>
      <c r="TFE48" s="952"/>
      <c r="TFF48" s="952"/>
      <c r="TFG48" s="952"/>
      <c r="TFH48" s="952"/>
      <c r="TFI48" s="952"/>
      <c r="TFJ48" s="952"/>
      <c r="TFK48" s="952"/>
      <c r="TFL48" s="952"/>
      <c r="TFM48" s="952"/>
      <c r="TFN48" s="952"/>
      <c r="TFO48" s="952"/>
      <c r="TFP48" s="952"/>
      <c r="TFQ48" s="952"/>
      <c r="TFR48" s="952"/>
      <c r="TFS48" s="952"/>
      <c r="TFT48" s="952"/>
      <c r="TFU48" s="952"/>
      <c r="TFV48" s="952"/>
      <c r="TFW48" s="952"/>
      <c r="TFX48" s="952"/>
      <c r="TFY48" s="952"/>
      <c r="TFZ48" s="952"/>
      <c r="TGA48" s="952"/>
      <c r="TGB48" s="952"/>
      <c r="TGC48" s="952"/>
      <c r="TGD48" s="952"/>
      <c r="TGE48" s="952"/>
      <c r="TGF48" s="952"/>
      <c r="TGG48" s="952"/>
      <c r="TGH48" s="952"/>
      <c r="TGI48" s="952"/>
      <c r="TGJ48" s="952"/>
      <c r="TGK48" s="952"/>
      <c r="TGL48" s="952"/>
      <c r="TGM48" s="952"/>
      <c r="TGN48" s="952"/>
      <c r="TGO48" s="952"/>
      <c r="TGP48" s="952"/>
      <c r="TGQ48" s="952"/>
      <c r="TGR48" s="952"/>
      <c r="TGS48" s="952"/>
      <c r="TGT48" s="952"/>
      <c r="TGU48" s="952"/>
      <c r="TGV48" s="952"/>
      <c r="TGW48" s="952"/>
      <c r="TGX48" s="952"/>
      <c r="TGY48" s="952"/>
      <c r="TGZ48" s="952"/>
      <c r="THA48" s="952"/>
      <c r="THB48" s="952"/>
      <c r="THC48" s="952"/>
      <c r="THD48" s="952"/>
      <c r="THE48" s="952"/>
      <c r="THF48" s="952"/>
      <c r="THG48" s="952"/>
      <c r="THH48" s="952"/>
      <c r="THI48" s="952"/>
      <c r="THJ48" s="952"/>
      <c r="THK48" s="952"/>
      <c r="THL48" s="952"/>
      <c r="THM48" s="952"/>
      <c r="THN48" s="952"/>
      <c r="THO48" s="952"/>
      <c r="THP48" s="952"/>
      <c r="THQ48" s="952"/>
      <c r="THR48" s="952"/>
      <c r="THS48" s="952"/>
      <c r="THT48" s="952"/>
      <c r="THU48" s="952"/>
      <c r="THV48" s="952"/>
      <c r="THW48" s="952"/>
      <c r="THX48" s="952"/>
      <c r="THY48" s="952"/>
      <c r="THZ48" s="952"/>
      <c r="TIA48" s="952"/>
      <c r="TIB48" s="952"/>
      <c r="TIC48" s="952"/>
      <c r="TID48" s="952"/>
      <c r="TIE48" s="952"/>
      <c r="TIF48" s="952"/>
      <c r="TIG48" s="952"/>
      <c r="TIH48" s="952"/>
      <c r="TII48" s="952"/>
      <c r="TIJ48" s="952"/>
      <c r="TIK48" s="952"/>
      <c r="TIL48" s="952"/>
      <c r="TIM48" s="952"/>
      <c r="TIN48" s="952"/>
      <c r="TIO48" s="952"/>
      <c r="TIP48" s="952"/>
      <c r="TIQ48" s="952"/>
      <c r="TIR48" s="952"/>
      <c r="TIS48" s="952"/>
      <c r="TIT48" s="952"/>
      <c r="TIU48" s="952"/>
      <c r="TIV48" s="952"/>
      <c r="TIW48" s="952"/>
      <c r="TIX48" s="952"/>
      <c r="TIY48" s="952"/>
      <c r="TIZ48" s="952"/>
      <c r="TJA48" s="952"/>
      <c r="TJB48" s="952"/>
      <c r="TJC48" s="952"/>
      <c r="TJD48" s="952"/>
      <c r="TJE48" s="952"/>
      <c r="TJF48" s="952"/>
      <c r="TJG48" s="952"/>
      <c r="TJH48" s="952"/>
      <c r="TJI48" s="952"/>
      <c r="TJJ48" s="952"/>
      <c r="TJK48" s="952"/>
      <c r="TJL48" s="952"/>
      <c r="TJM48" s="952"/>
      <c r="TJN48" s="952"/>
      <c r="TJO48" s="952"/>
      <c r="TJP48" s="952"/>
      <c r="TJQ48" s="952"/>
      <c r="TJR48" s="952"/>
      <c r="TJS48" s="952"/>
      <c r="TJT48" s="952"/>
      <c r="TJU48" s="952"/>
      <c r="TJV48" s="952"/>
      <c r="TJW48" s="952"/>
      <c r="TJX48" s="952"/>
      <c r="TJY48" s="952"/>
      <c r="TJZ48" s="952"/>
      <c r="TKA48" s="952"/>
      <c r="TKB48" s="952"/>
      <c r="TKC48" s="952"/>
      <c r="TKD48" s="952"/>
      <c r="TKE48" s="952"/>
      <c r="TKF48" s="952"/>
      <c r="TKG48" s="952"/>
      <c r="TKH48" s="952"/>
      <c r="TKI48" s="952"/>
      <c r="TKJ48" s="952"/>
      <c r="TKK48" s="952"/>
      <c r="TKL48" s="952"/>
      <c r="TKM48" s="952"/>
      <c r="TKN48" s="952"/>
      <c r="TKO48" s="952"/>
      <c r="TKP48" s="952"/>
      <c r="TKQ48" s="952"/>
      <c r="TKR48" s="952"/>
      <c r="TKS48" s="952"/>
      <c r="TKT48" s="952"/>
      <c r="TKU48" s="952"/>
      <c r="TKV48" s="952"/>
      <c r="TKW48" s="952"/>
      <c r="TKX48" s="952"/>
      <c r="TKY48" s="952"/>
      <c r="TKZ48" s="952"/>
      <c r="TLA48" s="952"/>
      <c r="TLB48" s="952"/>
      <c r="TLC48" s="952"/>
      <c r="TLD48" s="952"/>
      <c r="TLE48" s="952"/>
      <c r="TLF48" s="952"/>
      <c r="TLG48" s="952"/>
      <c r="TLH48" s="952"/>
      <c r="TLI48" s="952"/>
      <c r="TLJ48" s="952"/>
      <c r="TLK48" s="952"/>
      <c r="TLL48" s="952"/>
      <c r="TLM48" s="952"/>
      <c r="TLN48" s="952"/>
      <c r="TLO48" s="952"/>
      <c r="TLP48" s="952"/>
      <c r="TLQ48" s="952"/>
      <c r="TLR48" s="952"/>
      <c r="TLS48" s="952"/>
      <c r="TLT48" s="952"/>
      <c r="TLU48" s="952"/>
      <c r="TLV48" s="952"/>
      <c r="TLW48" s="952"/>
      <c r="TLX48" s="952"/>
      <c r="TLY48" s="952"/>
      <c r="TLZ48" s="952"/>
      <c r="TMA48" s="952"/>
      <c r="TMB48" s="952"/>
      <c r="TMC48" s="952"/>
      <c r="TMD48" s="952"/>
      <c r="TME48" s="952"/>
      <c r="TMF48" s="952"/>
      <c r="TMG48" s="952"/>
      <c r="TMH48" s="952"/>
      <c r="TMI48" s="952"/>
      <c r="TMJ48" s="952"/>
      <c r="TMK48" s="952"/>
      <c r="TML48" s="952"/>
      <c r="TMM48" s="952"/>
      <c r="TMN48" s="952"/>
      <c r="TMO48" s="952"/>
      <c r="TMP48" s="952"/>
      <c r="TMQ48" s="952"/>
      <c r="TMR48" s="952"/>
      <c r="TMS48" s="952"/>
      <c r="TMT48" s="952"/>
      <c r="TMU48" s="952"/>
      <c r="TMV48" s="952"/>
      <c r="TMW48" s="952"/>
      <c r="TMX48" s="952"/>
      <c r="TMY48" s="952"/>
      <c r="TMZ48" s="952"/>
      <c r="TNA48" s="952"/>
      <c r="TNB48" s="952"/>
      <c r="TNC48" s="952"/>
      <c r="TND48" s="952"/>
      <c r="TNE48" s="952"/>
      <c r="TNF48" s="952"/>
      <c r="TNG48" s="952"/>
      <c r="TNH48" s="952"/>
      <c r="TNI48" s="952"/>
      <c r="TNJ48" s="952"/>
      <c r="TNK48" s="952"/>
      <c r="TNL48" s="952"/>
      <c r="TNM48" s="952"/>
      <c r="TNN48" s="952"/>
      <c r="TNO48" s="952"/>
      <c r="TNP48" s="952"/>
      <c r="TNQ48" s="952"/>
      <c r="TNR48" s="952"/>
      <c r="TNS48" s="952"/>
      <c r="TNT48" s="952"/>
      <c r="TNU48" s="952"/>
      <c r="TNV48" s="952"/>
      <c r="TNW48" s="952"/>
      <c r="TNX48" s="952"/>
      <c r="TNY48" s="952"/>
      <c r="TNZ48" s="952"/>
      <c r="TOA48" s="952"/>
      <c r="TOB48" s="952"/>
      <c r="TOC48" s="952"/>
      <c r="TOD48" s="952"/>
      <c r="TOE48" s="952"/>
      <c r="TOF48" s="952"/>
      <c r="TOG48" s="952"/>
      <c r="TOH48" s="952"/>
      <c r="TOI48" s="952"/>
      <c r="TOJ48" s="952"/>
      <c r="TOK48" s="952"/>
      <c r="TOL48" s="952"/>
      <c r="TOM48" s="952"/>
      <c r="TON48" s="952"/>
      <c r="TOO48" s="952"/>
      <c r="TOP48" s="952"/>
      <c r="TOQ48" s="952"/>
      <c r="TOR48" s="952"/>
      <c r="TOS48" s="952"/>
      <c r="TOT48" s="952"/>
      <c r="TOU48" s="952"/>
      <c r="TOV48" s="952"/>
      <c r="TOW48" s="952"/>
      <c r="TOX48" s="952"/>
      <c r="TOY48" s="952"/>
      <c r="TOZ48" s="952"/>
      <c r="TPA48" s="952"/>
      <c r="TPB48" s="952"/>
      <c r="TPC48" s="952"/>
      <c r="TPD48" s="952"/>
      <c r="TPE48" s="952"/>
      <c r="TPF48" s="952"/>
      <c r="TPG48" s="952"/>
      <c r="TPH48" s="952"/>
      <c r="TPI48" s="952"/>
      <c r="TPJ48" s="952"/>
      <c r="TPK48" s="952"/>
      <c r="TPL48" s="952"/>
      <c r="TPM48" s="952"/>
      <c r="TPN48" s="952"/>
      <c r="TPO48" s="952"/>
      <c r="TPP48" s="952"/>
      <c r="TPQ48" s="952"/>
      <c r="TPR48" s="952"/>
      <c r="TPS48" s="952"/>
      <c r="TPT48" s="952"/>
      <c r="TPU48" s="952"/>
      <c r="TPV48" s="952"/>
      <c r="TPW48" s="952"/>
      <c r="TPX48" s="952"/>
      <c r="TPY48" s="952"/>
      <c r="TPZ48" s="952"/>
      <c r="TQA48" s="952"/>
      <c r="TQB48" s="952"/>
      <c r="TQC48" s="952"/>
      <c r="TQD48" s="952"/>
      <c r="TQE48" s="952"/>
      <c r="TQF48" s="952"/>
      <c r="TQG48" s="952"/>
      <c r="TQH48" s="952"/>
      <c r="TQI48" s="952"/>
      <c r="TQJ48" s="952"/>
      <c r="TQK48" s="952"/>
      <c r="TQL48" s="952"/>
      <c r="TQM48" s="952"/>
      <c r="TQN48" s="952"/>
      <c r="TQO48" s="952"/>
      <c r="TQP48" s="952"/>
      <c r="TQQ48" s="952"/>
      <c r="TQR48" s="952"/>
      <c r="TQS48" s="952"/>
      <c r="TQT48" s="952"/>
      <c r="TQU48" s="952"/>
      <c r="TQV48" s="952"/>
      <c r="TQW48" s="952"/>
      <c r="TQX48" s="952"/>
      <c r="TQY48" s="952"/>
      <c r="TQZ48" s="952"/>
      <c r="TRA48" s="952"/>
      <c r="TRB48" s="952"/>
      <c r="TRC48" s="952"/>
      <c r="TRD48" s="952"/>
      <c r="TRE48" s="952"/>
      <c r="TRF48" s="952"/>
      <c r="TRG48" s="952"/>
      <c r="TRH48" s="952"/>
      <c r="TRI48" s="952"/>
      <c r="TRJ48" s="952"/>
      <c r="TRK48" s="952"/>
      <c r="TRL48" s="952"/>
      <c r="TRM48" s="952"/>
      <c r="TRN48" s="952"/>
      <c r="TRO48" s="952"/>
      <c r="TRP48" s="952"/>
      <c r="TRQ48" s="952"/>
      <c r="TRR48" s="952"/>
      <c r="TRS48" s="952"/>
      <c r="TRT48" s="952"/>
      <c r="TRU48" s="952"/>
      <c r="TRV48" s="952"/>
      <c r="TRW48" s="952"/>
      <c r="TRX48" s="952"/>
      <c r="TRY48" s="952"/>
      <c r="TRZ48" s="952"/>
      <c r="TSA48" s="952"/>
      <c r="TSB48" s="952"/>
      <c r="TSC48" s="952"/>
      <c r="TSD48" s="952"/>
      <c r="TSE48" s="952"/>
      <c r="TSF48" s="952"/>
      <c r="TSG48" s="952"/>
      <c r="TSH48" s="952"/>
      <c r="TSI48" s="952"/>
      <c r="TSJ48" s="952"/>
      <c r="TSK48" s="952"/>
      <c r="TSL48" s="952"/>
      <c r="TSM48" s="952"/>
      <c r="TSN48" s="952"/>
      <c r="TSO48" s="952"/>
      <c r="TSP48" s="952"/>
      <c r="TSQ48" s="952"/>
      <c r="TSR48" s="952"/>
      <c r="TSS48" s="952"/>
      <c r="TST48" s="952"/>
      <c r="TSU48" s="952"/>
      <c r="TSV48" s="952"/>
      <c r="TSW48" s="952"/>
      <c r="TSX48" s="952"/>
      <c r="TSY48" s="952"/>
      <c r="TSZ48" s="952"/>
      <c r="TTA48" s="952"/>
      <c r="TTB48" s="952"/>
      <c r="TTC48" s="952"/>
      <c r="TTD48" s="952"/>
      <c r="TTE48" s="952"/>
      <c r="TTF48" s="952"/>
      <c r="TTG48" s="952"/>
      <c r="TTH48" s="952"/>
      <c r="TTI48" s="952"/>
      <c r="TTJ48" s="952"/>
      <c r="TTK48" s="952"/>
      <c r="TTL48" s="952"/>
      <c r="TTM48" s="952"/>
      <c r="TTN48" s="952"/>
      <c r="TTO48" s="952"/>
      <c r="TTP48" s="952"/>
      <c r="TTQ48" s="952"/>
      <c r="TTR48" s="952"/>
      <c r="TTS48" s="952"/>
      <c r="TTT48" s="952"/>
      <c r="TTU48" s="952"/>
      <c r="TTV48" s="952"/>
      <c r="TTW48" s="952"/>
      <c r="TTX48" s="952"/>
      <c r="TTY48" s="952"/>
      <c r="TTZ48" s="952"/>
      <c r="TUA48" s="952"/>
      <c r="TUB48" s="952"/>
      <c r="TUC48" s="952"/>
      <c r="TUD48" s="952"/>
      <c r="TUE48" s="952"/>
      <c r="TUF48" s="952"/>
      <c r="TUG48" s="952"/>
      <c r="TUH48" s="952"/>
      <c r="TUI48" s="952"/>
      <c r="TUJ48" s="952"/>
      <c r="TUK48" s="952"/>
      <c r="TUL48" s="952"/>
      <c r="TUM48" s="952"/>
      <c r="TUN48" s="952"/>
      <c r="TUO48" s="952"/>
      <c r="TUP48" s="952"/>
      <c r="TUQ48" s="952"/>
      <c r="TUR48" s="952"/>
      <c r="TUS48" s="952"/>
      <c r="TUT48" s="952"/>
      <c r="TUU48" s="952"/>
      <c r="TUV48" s="952"/>
      <c r="TUW48" s="952"/>
      <c r="TUX48" s="952"/>
      <c r="TUY48" s="952"/>
      <c r="TUZ48" s="952"/>
      <c r="TVA48" s="952"/>
      <c r="TVB48" s="952"/>
      <c r="TVC48" s="952"/>
      <c r="TVD48" s="952"/>
      <c r="TVE48" s="952"/>
      <c r="TVF48" s="952"/>
      <c r="TVG48" s="952"/>
      <c r="TVH48" s="952"/>
      <c r="TVI48" s="952"/>
      <c r="TVJ48" s="952"/>
      <c r="TVK48" s="952"/>
      <c r="TVL48" s="952"/>
      <c r="TVM48" s="952"/>
      <c r="TVN48" s="952"/>
      <c r="TVO48" s="952"/>
      <c r="TVP48" s="952"/>
      <c r="TVQ48" s="952"/>
      <c r="TVR48" s="952"/>
      <c r="TVS48" s="952"/>
      <c r="TVT48" s="952"/>
      <c r="TVU48" s="952"/>
      <c r="TVV48" s="952"/>
      <c r="TVW48" s="952"/>
      <c r="TVX48" s="952"/>
      <c r="TVY48" s="952"/>
      <c r="TVZ48" s="952"/>
      <c r="TWA48" s="952"/>
      <c r="TWB48" s="952"/>
      <c r="TWC48" s="952"/>
      <c r="TWD48" s="952"/>
      <c r="TWE48" s="952"/>
      <c r="TWF48" s="952"/>
      <c r="TWG48" s="952"/>
      <c r="TWH48" s="952"/>
      <c r="TWI48" s="952"/>
      <c r="TWJ48" s="952"/>
      <c r="TWK48" s="952"/>
      <c r="TWL48" s="952"/>
      <c r="TWM48" s="952"/>
      <c r="TWN48" s="952"/>
      <c r="TWO48" s="952"/>
      <c r="TWP48" s="952"/>
      <c r="TWQ48" s="952"/>
      <c r="TWR48" s="952"/>
      <c r="TWS48" s="952"/>
      <c r="TWT48" s="952"/>
      <c r="TWU48" s="952"/>
      <c r="TWV48" s="952"/>
      <c r="TWW48" s="952"/>
      <c r="TWX48" s="952"/>
      <c r="TWY48" s="952"/>
      <c r="TWZ48" s="952"/>
      <c r="TXA48" s="952"/>
      <c r="TXB48" s="952"/>
      <c r="TXC48" s="952"/>
      <c r="TXD48" s="952"/>
      <c r="TXE48" s="952"/>
      <c r="TXF48" s="952"/>
      <c r="TXG48" s="952"/>
      <c r="TXH48" s="952"/>
      <c r="TXI48" s="952"/>
      <c r="TXJ48" s="952"/>
      <c r="TXK48" s="952"/>
      <c r="TXL48" s="952"/>
      <c r="TXM48" s="952"/>
      <c r="TXN48" s="952"/>
      <c r="TXO48" s="952"/>
      <c r="TXP48" s="952"/>
      <c r="TXQ48" s="952"/>
      <c r="TXR48" s="952"/>
      <c r="TXS48" s="952"/>
      <c r="TXT48" s="952"/>
      <c r="TXU48" s="952"/>
      <c r="TXV48" s="952"/>
      <c r="TXW48" s="952"/>
      <c r="TXX48" s="952"/>
      <c r="TXY48" s="952"/>
      <c r="TXZ48" s="952"/>
      <c r="TYA48" s="952"/>
      <c r="TYB48" s="952"/>
      <c r="TYC48" s="952"/>
      <c r="TYD48" s="952"/>
      <c r="TYE48" s="952"/>
      <c r="TYF48" s="952"/>
      <c r="TYG48" s="952"/>
      <c r="TYH48" s="952"/>
      <c r="TYI48" s="952"/>
      <c r="TYJ48" s="952"/>
      <c r="TYK48" s="952"/>
      <c r="TYL48" s="952"/>
      <c r="TYM48" s="952"/>
      <c r="TYN48" s="952"/>
      <c r="TYO48" s="952"/>
      <c r="TYP48" s="952"/>
      <c r="TYQ48" s="952"/>
      <c r="TYR48" s="952"/>
      <c r="TYS48" s="952"/>
      <c r="TYT48" s="952"/>
      <c r="TYU48" s="952"/>
      <c r="TYV48" s="952"/>
      <c r="TYW48" s="952"/>
      <c r="TYX48" s="952"/>
      <c r="TYY48" s="952"/>
      <c r="TYZ48" s="952"/>
      <c r="TZA48" s="952"/>
      <c r="TZB48" s="952"/>
      <c r="TZC48" s="952"/>
      <c r="TZD48" s="952"/>
      <c r="TZE48" s="952"/>
      <c r="TZF48" s="952"/>
      <c r="TZG48" s="952"/>
      <c r="TZH48" s="952"/>
      <c r="TZI48" s="952"/>
      <c r="TZJ48" s="952"/>
      <c r="TZK48" s="952"/>
      <c r="TZL48" s="952"/>
      <c r="TZM48" s="952"/>
      <c r="TZN48" s="952"/>
      <c r="TZO48" s="952"/>
      <c r="TZP48" s="952"/>
      <c r="TZQ48" s="952"/>
      <c r="TZR48" s="952"/>
      <c r="TZS48" s="952"/>
      <c r="TZT48" s="952"/>
      <c r="TZU48" s="952"/>
      <c r="TZV48" s="952"/>
      <c r="TZW48" s="952"/>
      <c r="TZX48" s="952"/>
      <c r="TZY48" s="952"/>
      <c r="TZZ48" s="952"/>
      <c r="UAA48" s="952"/>
      <c r="UAB48" s="952"/>
      <c r="UAC48" s="952"/>
      <c r="UAD48" s="952"/>
      <c r="UAE48" s="952"/>
      <c r="UAF48" s="952"/>
      <c r="UAG48" s="952"/>
      <c r="UAH48" s="952"/>
      <c r="UAI48" s="952"/>
      <c r="UAJ48" s="952"/>
      <c r="UAK48" s="952"/>
      <c r="UAL48" s="952"/>
      <c r="UAM48" s="952"/>
      <c r="UAN48" s="952"/>
      <c r="UAO48" s="952"/>
      <c r="UAP48" s="952"/>
      <c r="UAQ48" s="952"/>
      <c r="UAR48" s="952"/>
      <c r="UAS48" s="952"/>
      <c r="UAT48" s="952"/>
      <c r="UAU48" s="952"/>
      <c r="UAV48" s="952"/>
      <c r="UAW48" s="952"/>
      <c r="UAX48" s="952"/>
      <c r="UAY48" s="952"/>
      <c r="UAZ48" s="952"/>
      <c r="UBA48" s="952"/>
      <c r="UBB48" s="952"/>
      <c r="UBC48" s="952"/>
      <c r="UBD48" s="952"/>
      <c r="UBE48" s="952"/>
      <c r="UBF48" s="952"/>
      <c r="UBG48" s="952"/>
      <c r="UBH48" s="952"/>
      <c r="UBI48" s="952"/>
      <c r="UBJ48" s="952"/>
      <c r="UBK48" s="952"/>
      <c r="UBL48" s="952"/>
      <c r="UBM48" s="952"/>
      <c r="UBN48" s="952"/>
      <c r="UBO48" s="952"/>
      <c r="UBP48" s="952"/>
      <c r="UBQ48" s="952"/>
      <c r="UBR48" s="952"/>
      <c r="UBS48" s="952"/>
      <c r="UBT48" s="952"/>
      <c r="UBU48" s="952"/>
      <c r="UBV48" s="952"/>
      <c r="UBW48" s="952"/>
      <c r="UBX48" s="952"/>
      <c r="UBY48" s="952"/>
      <c r="UBZ48" s="952"/>
      <c r="UCA48" s="952"/>
      <c r="UCB48" s="952"/>
      <c r="UCC48" s="952"/>
      <c r="UCD48" s="952"/>
      <c r="UCE48" s="952"/>
      <c r="UCF48" s="952"/>
      <c r="UCG48" s="952"/>
      <c r="UCH48" s="952"/>
      <c r="UCI48" s="952"/>
      <c r="UCJ48" s="952"/>
      <c r="UCK48" s="952"/>
      <c r="UCL48" s="952"/>
      <c r="UCM48" s="952"/>
      <c r="UCN48" s="952"/>
      <c r="UCO48" s="952"/>
      <c r="UCP48" s="952"/>
      <c r="UCQ48" s="952"/>
      <c r="UCR48" s="952"/>
      <c r="UCS48" s="952"/>
      <c r="UCT48" s="952"/>
      <c r="UCU48" s="952"/>
      <c r="UCV48" s="952"/>
      <c r="UCW48" s="952"/>
      <c r="UCX48" s="952"/>
      <c r="UCY48" s="952"/>
      <c r="UCZ48" s="952"/>
      <c r="UDA48" s="952"/>
      <c r="UDB48" s="952"/>
      <c r="UDC48" s="952"/>
      <c r="UDD48" s="952"/>
      <c r="UDE48" s="952"/>
      <c r="UDF48" s="952"/>
      <c r="UDG48" s="952"/>
      <c r="UDH48" s="952"/>
      <c r="UDI48" s="952"/>
      <c r="UDJ48" s="952"/>
      <c r="UDK48" s="952"/>
      <c r="UDL48" s="952"/>
      <c r="UDM48" s="952"/>
      <c r="UDN48" s="952"/>
      <c r="UDO48" s="952"/>
      <c r="UDP48" s="952"/>
      <c r="UDQ48" s="952"/>
      <c r="UDR48" s="952"/>
      <c r="UDS48" s="952"/>
      <c r="UDT48" s="952"/>
      <c r="UDU48" s="952"/>
      <c r="UDV48" s="952"/>
      <c r="UDW48" s="952"/>
      <c r="UDX48" s="952"/>
      <c r="UDY48" s="952"/>
      <c r="UDZ48" s="952"/>
      <c r="UEA48" s="952"/>
      <c r="UEB48" s="952"/>
      <c r="UEC48" s="952"/>
      <c r="UED48" s="952"/>
      <c r="UEE48" s="952"/>
      <c r="UEF48" s="952"/>
      <c r="UEG48" s="952"/>
      <c r="UEH48" s="952"/>
      <c r="UEI48" s="952"/>
      <c r="UEJ48" s="952"/>
      <c r="UEK48" s="952"/>
      <c r="UEL48" s="952"/>
      <c r="UEM48" s="952"/>
      <c r="UEN48" s="952"/>
      <c r="UEO48" s="952"/>
      <c r="UEP48" s="952"/>
      <c r="UEQ48" s="952"/>
      <c r="UER48" s="952"/>
      <c r="UES48" s="952"/>
      <c r="UET48" s="952"/>
      <c r="UEU48" s="952"/>
      <c r="UEV48" s="952"/>
      <c r="UEW48" s="952"/>
      <c r="UEX48" s="952"/>
      <c r="UEY48" s="952"/>
      <c r="UEZ48" s="952"/>
      <c r="UFA48" s="952"/>
      <c r="UFB48" s="952"/>
      <c r="UFC48" s="952"/>
      <c r="UFD48" s="952"/>
      <c r="UFE48" s="952"/>
      <c r="UFF48" s="952"/>
      <c r="UFG48" s="952"/>
      <c r="UFH48" s="952"/>
      <c r="UFI48" s="952"/>
      <c r="UFJ48" s="952"/>
      <c r="UFK48" s="952"/>
      <c r="UFL48" s="952"/>
      <c r="UFM48" s="952"/>
      <c r="UFN48" s="952"/>
      <c r="UFO48" s="952"/>
      <c r="UFP48" s="952"/>
      <c r="UFQ48" s="952"/>
      <c r="UFR48" s="952"/>
      <c r="UFS48" s="952"/>
      <c r="UFT48" s="952"/>
      <c r="UFU48" s="952"/>
      <c r="UFV48" s="952"/>
      <c r="UFW48" s="952"/>
      <c r="UFX48" s="952"/>
      <c r="UFY48" s="952"/>
      <c r="UFZ48" s="952"/>
      <c r="UGA48" s="952"/>
      <c r="UGB48" s="952"/>
      <c r="UGC48" s="952"/>
      <c r="UGD48" s="952"/>
      <c r="UGE48" s="952"/>
      <c r="UGF48" s="952"/>
      <c r="UGG48" s="952"/>
      <c r="UGH48" s="952"/>
      <c r="UGI48" s="952"/>
      <c r="UGJ48" s="952"/>
      <c r="UGK48" s="952"/>
      <c r="UGL48" s="952"/>
      <c r="UGM48" s="952"/>
      <c r="UGN48" s="952"/>
      <c r="UGO48" s="952"/>
      <c r="UGP48" s="952"/>
      <c r="UGQ48" s="952"/>
      <c r="UGR48" s="952"/>
      <c r="UGS48" s="952"/>
      <c r="UGT48" s="952"/>
      <c r="UGU48" s="952"/>
      <c r="UGV48" s="952"/>
      <c r="UGW48" s="952"/>
      <c r="UGX48" s="952"/>
      <c r="UGY48" s="952"/>
      <c r="UGZ48" s="952"/>
      <c r="UHA48" s="952"/>
      <c r="UHB48" s="952"/>
      <c r="UHC48" s="952"/>
      <c r="UHD48" s="952"/>
      <c r="UHE48" s="952"/>
      <c r="UHF48" s="952"/>
      <c r="UHG48" s="952"/>
      <c r="UHH48" s="952"/>
      <c r="UHI48" s="952"/>
      <c r="UHJ48" s="952"/>
      <c r="UHK48" s="952"/>
      <c r="UHL48" s="952"/>
      <c r="UHM48" s="952"/>
      <c r="UHN48" s="952"/>
      <c r="UHO48" s="952"/>
      <c r="UHP48" s="952"/>
      <c r="UHQ48" s="952"/>
      <c r="UHR48" s="952"/>
      <c r="UHS48" s="952"/>
      <c r="UHT48" s="952"/>
      <c r="UHU48" s="952"/>
      <c r="UHV48" s="952"/>
      <c r="UHW48" s="952"/>
      <c r="UHX48" s="952"/>
      <c r="UHY48" s="952"/>
      <c r="UHZ48" s="952"/>
      <c r="UIA48" s="952"/>
      <c r="UIB48" s="952"/>
      <c r="UIC48" s="952"/>
      <c r="UID48" s="952"/>
      <c r="UIE48" s="952"/>
      <c r="UIF48" s="952"/>
      <c r="UIG48" s="952"/>
      <c r="UIH48" s="952"/>
      <c r="UII48" s="952"/>
      <c r="UIJ48" s="952"/>
      <c r="UIK48" s="952"/>
      <c r="UIL48" s="952"/>
      <c r="UIM48" s="952"/>
      <c r="UIN48" s="952"/>
      <c r="UIO48" s="952"/>
      <c r="UIP48" s="952"/>
      <c r="UIQ48" s="952"/>
      <c r="UIR48" s="952"/>
      <c r="UIS48" s="952"/>
      <c r="UIT48" s="952"/>
      <c r="UIU48" s="952"/>
      <c r="UIV48" s="952"/>
      <c r="UIW48" s="952"/>
      <c r="UIX48" s="952"/>
      <c r="UIY48" s="952"/>
      <c r="UIZ48" s="952"/>
      <c r="UJA48" s="952"/>
      <c r="UJB48" s="952"/>
      <c r="UJC48" s="952"/>
      <c r="UJD48" s="952"/>
      <c r="UJE48" s="952"/>
      <c r="UJF48" s="952"/>
      <c r="UJG48" s="952"/>
      <c r="UJH48" s="952"/>
      <c r="UJI48" s="952"/>
      <c r="UJJ48" s="952"/>
      <c r="UJK48" s="952"/>
      <c r="UJL48" s="952"/>
      <c r="UJM48" s="952"/>
      <c r="UJN48" s="952"/>
      <c r="UJO48" s="952"/>
      <c r="UJP48" s="952"/>
      <c r="UJQ48" s="952"/>
      <c r="UJR48" s="952"/>
      <c r="UJS48" s="952"/>
      <c r="UJT48" s="952"/>
      <c r="UJU48" s="952"/>
      <c r="UJV48" s="952"/>
      <c r="UJW48" s="952"/>
      <c r="UJX48" s="952"/>
      <c r="UJY48" s="952"/>
      <c r="UJZ48" s="952"/>
      <c r="UKA48" s="952"/>
      <c r="UKB48" s="952"/>
      <c r="UKC48" s="952"/>
      <c r="UKD48" s="952"/>
      <c r="UKE48" s="952"/>
      <c r="UKF48" s="952"/>
      <c r="UKG48" s="952"/>
      <c r="UKH48" s="952"/>
      <c r="UKI48" s="952"/>
      <c r="UKJ48" s="952"/>
      <c r="UKK48" s="952"/>
      <c r="UKL48" s="952"/>
      <c r="UKM48" s="952"/>
      <c r="UKN48" s="952"/>
      <c r="UKO48" s="952"/>
      <c r="UKP48" s="952"/>
      <c r="UKQ48" s="952"/>
      <c r="UKR48" s="952"/>
      <c r="UKS48" s="952"/>
      <c r="UKT48" s="952"/>
      <c r="UKU48" s="952"/>
      <c r="UKV48" s="952"/>
      <c r="UKW48" s="952"/>
      <c r="UKX48" s="952"/>
      <c r="UKY48" s="952"/>
      <c r="UKZ48" s="952"/>
      <c r="ULA48" s="952"/>
      <c r="ULB48" s="952"/>
      <c r="ULC48" s="952"/>
      <c r="ULD48" s="952"/>
      <c r="ULE48" s="952"/>
      <c r="ULF48" s="952"/>
      <c r="ULG48" s="952"/>
      <c r="ULH48" s="952"/>
      <c r="ULI48" s="952"/>
      <c r="ULJ48" s="952"/>
      <c r="ULK48" s="952"/>
      <c r="ULL48" s="952"/>
      <c r="ULM48" s="952"/>
      <c r="ULN48" s="952"/>
      <c r="ULO48" s="952"/>
      <c r="ULP48" s="952"/>
      <c r="ULQ48" s="952"/>
      <c r="ULR48" s="952"/>
      <c r="ULS48" s="952"/>
      <c r="ULT48" s="952"/>
      <c r="ULU48" s="952"/>
      <c r="ULV48" s="952"/>
      <c r="ULW48" s="952"/>
      <c r="ULX48" s="952"/>
      <c r="ULY48" s="952"/>
      <c r="ULZ48" s="952"/>
      <c r="UMA48" s="952"/>
      <c r="UMB48" s="952"/>
      <c r="UMC48" s="952"/>
      <c r="UMD48" s="952"/>
      <c r="UME48" s="952"/>
      <c r="UMF48" s="952"/>
      <c r="UMG48" s="952"/>
      <c r="UMH48" s="952"/>
      <c r="UMI48" s="952"/>
      <c r="UMJ48" s="952"/>
      <c r="UMK48" s="952"/>
      <c r="UML48" s="952"/>
      <c r="UMM48" s="952"/>
      <c r="UMN48" s="952"/>
      <c r="UMO48" s="952"/>
      <c r="UMP48" s="952"/>
      <c r="UMQ48" s="952"/>
      <c r="UMR48" s="952"/>
      <c r="UMS48" s="952"/>
      <c r="UMT48" s="952"/>
      <c r="UMU48" s="952"/>
      <c r="UMV48" s="952"/>
      <c r="UMW48" s="952"/>
      <c r="UMX48" s="952"/>
      <c r="UMY48" s="952"/>
      <c r="UMZ48" s="952"/>
      <c r="UNA48" s="952"/>
      <c r="UNB48" s="952"/>
      <c r="UNC48" s="952"/>
      <c r="UND48" s="952"/>
      <c r="UNE48" s="952"/>
      <c r="UNF48" s="952"/>
      <c r="UNG48" s="952"/>
      <c r="UNH48" s="952"/>
      <c r="UNI48" s="952"/>
      <c r="UNJ48" s="952"/>
      <c r="UNK48" s="952"/>
      <c r="UNL48" s="952"/>
      <c r="UNM48" s="952"/>
      <c r="UNN48" s="952"/>
      <c r="UNO48" s="952"/>
      <c r="UNP48" s="952"/>
      <c r="UNQ48" s="952"/>
      <c r="UNR48" s="952"/>
      <c r="UNS48" s="952"/>
      <c r="UNT48" s="952"/>
      <c r="UNU48" s="952"/>
      <c r="UNV48" s="952"/>
      <c r="UNW48" s="952"/>
      <c r="UNX48" s="952"/>
      <c r="UNY48" s="952"/>
      <c r="UNZ48" s="952"/>
      <c r="UOA48" s="952"/>
      <c r="UOB48" s="952"/>
      <c r="UOC48" s="952"/>
      <c r="UOD48" s="952"/>
      <c r="UOE48" s="952"/>
      <c r="UOF48" s="952"/>
      <c r="UOG48" s="952"/>
      <c r="UOH48" s="952"/>
      <c r="UOI48" s="952"/>
      <c r="UOJ48" s="952"/>
      <c r="UOK48" s="952"/>
      <c r="UOL48" s="952"/>
      <c r="UOM48" s="952"/>
      <c r="UON48" s="952"/>
      <c r="UOO48" s="952"/>
      <c r="UOP48" s="952"/>
      <c r="UOQ48" s="952"/>
      <c r="UOR48" s="952"/>
      <c r="UOS48" s="952"/>
      <c r="UOT48" s="952"/>
      <c r="UOU48" s="952"/>
      <c r="UOV48" s="952"/>
      <c r="UOW48" s="952"/>
      <c r="UOX48" s="952"/>
      <c r="UOY48" s="952"/>
      <c r="UOZ48" s="952"/>
      <c r="UPA48" s="952"/>
      <c r="UPB48" s="952"/>
      <c r="UPC48" s="952"/>
      <c r="UPD48" s="952"/>
      <c r="UPE48" s="952"/>
      <c r="UPF48" s="952"/>
      <c r="UPG48" s="952"/>
      <c r="UPH48" s="952"/>
      <c r="UPI48" s="952"/>
      <c r="UPJ48" s="952"/>
      <c r="UPK48" s="952"/>
      <c r="UPL48" s="952"/>
      <c r="UPM48" s="952"/>
      <c r="UPN48" s="952"/>
      <c r="UPO48" s="952"/>
      <c r="UPP48" s="952"/>
      <c r="UPQ48" s="952"/>
      <c r="UPR48" s="952"/>
      <c r="UPS48" s="952"/>
      <c r="UPT48" s="952"/>
      <c r="UPU48" s="952"/>
      <c r="UPV48" s="952"/>
      <c r="UPW48" s="952"/>
      <c r="UPX48" s="952"/>
      <c r="UPY48" s="952"/>
      <c r="UPZ48" s="952"/>
      <c r="UQA48" s="952"/>
      <c r="UQB48" s="952"/>
      <c r="UQC48" s="952"/>
      <c r="UQD48" s="952"/>
      <c r="UQE48" s="952"/>
      <c r="UQF48" s="952"/>
      <c r="UQG48" s="952"/>
      <c r="UQH48" s="952"/>
      <c r="UQI48" s="952"/>
      <c r="UQJ48" s="952"/>
      <c r="UQK48" s="952"/>
      <c r="UQL48" s="952"/>
      <c r="UQM48" s="952"/>
      <c r="UQN48" s="952"/>
      <c r="UQO48" s="952"/>
      <c r="UQP48" s="952"/>
      <c r="UQQ48" s="952"/>
      <c r="UQR48" s="952"/>
      <c r="UQS48" s="952"/>
      <c r="UQT48" s="952"/>
      <c r="UQU48" s="952"/>
      <c r="UQV48" s="952"/>
      <c r="UQW48" s="952"/>
      <c r="UQX48" s="952"/>
      <c r="UQY48" s="952"/>
      <c r="UQZ48" s="952"/>
      <c r="URA48" s="952"/>
      <c r="URB48" s="952"/>
      <c r="URC48" s="952"/>
      <c r="URD48" s="952"/>
      <c r="URE48" s="952"/>
      <c r="URF48" s="952"/>
      <c r="URG48" s="952"/>
      <c r="URH48" s="952"/>
      <c r="URI48" s="952"/>
      <c r="URJ48" s="952"/>
      <c r="URK48" s="952"/>
      <c r="URL48" s="952"/>
      <c r="URM48" s="952"/>
      <c r="URN48" s="952"/>
      <c r="URO48" s="952"/>
      <c r="URP48" s="952"/>
      <c r="URQ48" s="952"/>
      <c r="URR48" s="952"/>
      <c r="URS48" s="952"/>
      <c r="URT48" s="952"/>
      <c r="URU48" s="952"/>
      <c r="URV48" s="952"/>
      <c r="URW48" s="952"/>
      <c r="URX48" s="952"/>
      <c r="URY48" s="952"/>
      <c r="URZ48" s="952"/>
      <c r="USA48" s="952"/>
      <c r="USB48" s="952"/>
      <c r="USC48" s="952"/>
      <c r="USD48" s="952"/>
      <c r="USE48" s="952"/>
      <c r="USF48" s="952"/>
      <c r="USG48" s="952"/>
      <c r="USH48" s="952"/>
      <c r="USI48" s="952"/>
      <c r="USJ48" s="952"/>
      <c r="USK48" s="952"/>
      <c r="USL48" s="952"/>
      <c r="USM48" s="952"/>
      <c r="USN48" s="952"/>
      <c r="USO48" s="952"/>
      <c r="USP48" s="952"/>
      <c r="USQ48" s="952"/>
      <c r="USR48" s="952"/>
      <c r="USS48" s="952"/>
      <c r="UST48" s="952"/>
      <c r="USU48" s="952"/>
      <c r="USV48" s="952"/>
      <c r="USW48" s="952"/>
      <c r="USX48" s="952"/>
      <c r="USY48" s="952"/>
      <c r="USZ48" s="952"/>
      <c r="UTA48" s="952"/>
      <c r="UTB48" s="952"/>
      <c r="UTC48" s="952"/>
      <c r="UTD48" s="952"/>
      <c r="UTE48" s="952"/>
      <c r="UTF48" s="952"/>
      <c r="UTG48" s="952"/>
      <c r="UTH48" s="952"/>
      <c r="UTI48" s="952"/>
      <c r="UTJ48" s="952"/>
      <c r="UTK48" s="952"/>
      <c r="UTL48" s="952"/>
      <c r="UTM48" s="952"/>
      <c r="UTN48" s="952"/>
      <c r="UTO48" s="952"/>
      <c r="UTP48" s="952"/>
      <c r="UTQ48" s="952"/>
      <c r="UTR48" s="952"/>
      <c r="UTS48" s="952"/>
      <c r="UTT48" s="952"/>
      <c r="UTU48" s="952"/>
      <c r="UTV48" s="952"/>
      <c r="UTW48" s="952"/>
      <c r="UTX48" s="952"/>
      <c r="UTY48" s="952"/>
      <c r="UTZ48" s="952"/>
      <c r="UUA48" s="952"/>
      <c r="UUB48" s="952"/>
      <c r="UUC48" s="952"/>
      <c r="UUD48" s="952"/>
      <c r="UUE48" s="952"/>
      <c r="UUF48" s="952"/>
      <c r="UUG48" s="952"/>
      <c r="UUH48" s="952"/>
      <c r="UUI48" s="952"/>
      <c r="UUJ48" s="952"/>
      <c r="UUK48" s="952"/>
      <c r="UUL48" s="952"/>
      <c r="UUM48" s="952"/>
      <c r="UUN48" s="952"/>
      <c r="UUO48" s="952"/>
      <c r="UUP48" s="952"/>
      <c r="UUQ48" s="952"/>
      <c r="UUR48" s="952"/>
      <c r="UUS48" s="952"/>
      <c r="UUT48" s="952"/>
      <c r="UUU48" s="952"/>
      <c r="UUV48" s="952"/>
      <c r="UUW48" s="952"/>
      <c r="UUX48" s="952"/>
      <c r="UUY48" s="952"/>
      <c r="UUZ48" s="952"/>
      <c r="UVA48" s="952"/>
      <c r="UVB48" s="952"/>
      <c r="UVC48" s="952"/>
      <c r="UVD48" s="952"/>
      <c r="UVE48" s="952"/>
      <c r="UVF48" s="952"/>
      <c r="UVG48" s="952"/>
      <c r="UVH48" s="952"/>
      <c r="UVI48" s="952"/>
      <c r="UVJ48" s="952"/>
      <c r="UVK48" s="952"/>
      <c r="UVL48" s="952"/>
      <c r="UVM48" s="952"/>
      <c r="UVN48" s="952"/>
      <c r="UVO48" s="952"/>
      <c r="UVP48" s="952"/>
      <c r="UVQ48" s="952"/>
      <c r="UVR48" s="952"/>
      <c r="UVS48" s="952"/>
      <c r="UVT48" s="952"/>
      <c r="UVU48" s="952"/>
      <c r="UVV48" s="952"/>
      <c r="UVW48" s="952"/>
      <c r="UVX48" s="952"/>
      <c r="UVY48" s="952"/>
      <c r="UVZ48" s="952"/>
      <c r="UWA48" s="952"/>
      <c r="UWB48" s="952"/>
      <c r="UWC48" s="952"/>
      <c r="UWD48" s="952"/>
      <c r="UWE48" s="952"/>
      <c r="UWF48" s="952"/>
      <c r="UWG48" s="952"/>
      <c r="UWH48" s="952"/>
      <c r="UWI48" s="952"/>
      <c r="UWJ48" s="952"/>
      <c r="UWK48" s="952"/>
      <c r="UWL48" s="952"/>
      <c r="UWM48" s="952"/>
      <c r="UWN48" s="952"/>
      <c r="UWO48" s="952"/>
      <c r="UWP48" s="952"/>
      <c r="UWQ48" s="952"/>
      <c r="UWR48" s="952"/>
      <c r="UWS48" s="952"/>
      <c r="UWT48" s="952"/>
      <c r="UWU48" s="952"/>
      <c r="UWV48" s="952"/>
      <c r="UWW48" s="952"/>
      <c r="UWX48" s="952"/>
      <c r="UWY48" s="952"/>
      <c r="UWZ48" s="952"/>
      <c r="UXA48" s="952"/>
      <c r="UXB48" s="952"/>
      <c r="UXC48" s="952"/>
      <c r="UXD48" s="952"/>
      <c r="UXE48" s="952"/>
      <c r="UXF48" s="952"/>
      <c r="UXG48" s="952"/>
      <c r="UXH48" s="952"/>
      <c r="UXI48" s="952"/>
      <c r="UXJ48" s="952"/>
      <c r="UXK48" s="952"/>
      <c r="UXL48" s="952"/>
      <c r="UXM48" s="952"/>
      <c r="UXN48" s="952"/>
      <c r="UXO48" s="952"/>
      <c r="UXP48" s="952"/>
      <c r="UXQ48" s="952"/>
      <c r="UXR48" s="952"/>
      <c r="UXS48" s="952"/>
      <c r="UXT48" s="952"/>
      <c r="UXU48" s="952"/>
      <c r="UXV48" s="952"/>
      <c r="UXW48" s="952"/>
      <c r="UXX48" s="952"/>
      <c r="UXY48" s="952"/>
      <c r="UXZ48" s="952"/>
      <c r="UYA48" s="952"/>
      <c r="UYB48" s="952"/>
      <c r="UYC48" s="952"/>
      <c r="UYD48" s="952"/>
      <c r="UYE48" s="952"/>
      <c r="UYF48" s="952"/>
      <c r="UYG48" s="952"/>
      <c r="UYH48" s="952"/>
      <c r="UYI48" s="952"/>
      <c r="UYJ48" s="952"/>
      <c r="UYK48" s="952"/>
      <c r="UYL48" s="952"/>
      <c r="UYM48" s="952"/>
      <c r="UYN48" s="952"/>
      <c r="UYO48" s="952"/>
      <c r="UYP48" s="952"/>
      <c r="UYQ48" s="952"/>
      <c r="UYR48" s="952"/>
      <c r="UYS48" s="952"/>
      <c r="UYT48" s="952"/>
      <c r="UYU48" s="952"/>
      <c r="UYV48" s="952"/>
      <c r="UYW48" s="952"/>
      <c r="UYX48" s="952"/>
      <c r="UYY48" s="952"/>
      <c r="UYZ48" s="952"/>
      <c r="UZA48" s="952"/>
      <c r="UZB48" s="952"/>
      <c r="UZC48" s="952"/>
      <c r="UZD48" s="952"/>
      <c r="UZE48" s="952"/>
      <c r="UZF48" s="952"/>
      <c r="UZG48" s="952"/>
      <c r="UZH48" s="952"/>
      <c r="UZI48" s="952"/>
      <c r="UZJ48" s="952"/>
      <c r="UZK48" s="952"/>
      <c r="UZL48" s="952"/>
      <c r="UZM48" s="952"/>
      <c r="UZN48" s="952"/>
      <c r="UZO48" s="952"/>
      <c r="UZP48" s="952"/>
      <c r="UZQ48" s="952"/>
      <c r="UZR48" s="952"/>
      <c r="UZS48" s="952"/>
      <c r="UZT48" s="952"/>
      <c r="UZU48" s="952"/>
      <c r="UZV48" s="952"/>
      <c r="UZW48" s="952"/>
      <c r="UZX48" s="952"/>
      <c r="UZY48" s="952"/>
      <c r="UZZ48" s="952"/>
      <c r="VAA48" s="952"/>
      <c r="VAB48" s="952"/>
      <c r="VAC48" s="952"/>
      <c r="VAD48" s="952"/>
      <c r="VAE48" s="952"/>
      <c r="VAF48" s="952"/>
      <c r="VAG48" s="952"/>
      <c r="VAH48" s="952"/>
      <c r="VAI48" s="952"/>
      <c r="VAJ48" s="952"/>
      <c r="VAK48" s="952"/>
      <c r="VAL48" s="952"/>
      <c r="VAM48" s="952"/>
      <c r="VAN48" s="952"/>
      <c r="VAO48" s="952"/>
      <c r="VAP48" s="952"/>
      <c r="VAQ48" s="952"/>
      <c r="VAR48" s="952"/>
      <c r="VAS48" s="952"/>
      <c r="VAT48" s="952"/>
      <c r="VAU48" s="952"/>
      <c r="VAV48" s="952"/>
      <c r="VAW48" s="952"/>
      <c r="VAX48" s="952"/>
      <c r="VAY48" s="952"/>
      <c r="VAZ48" s="952"/>
      <c r="VBA48" s="952"/>
      <c r="VBB48" s="952"/>
      <c r="VBC48" s="952"/>
      <c r="VBD48" s="952"/>
      <c r="VBE48" s="952"/>
      <c r="VBF48" s="952"/>
      <c r="VBG48" s="952"/>
      <c r="VBH48" s="952"/>
      <c r="VBI48" s="952"/>
      <c r="VBJ48" s="952"/>
      <c r="VBK48" s="952"/>
      <c r="VBL48" s="952"/>
      <c r="VBM48" s="952"/>
      <c r="VBN48" s="952"/>
      <c r="VBO48" s="952"/>
      <c r="VBP48" s="952"/>
      <c r="VBQ48" s="952"/>
      <c r="VBR48" s="952"/>
      <c r="VBS48" s="952"/>
      <c r="VBT48" s="952"/>
      <c r="VBU48" s="952"/>
      <c r="VBV48" s="952"/>
      <c r="VBW48" s="952"/>
      <c r="VBX48" s="952"/>
      <c r="VBY48" s="952"/>
      <c r="VBZ48" s="952"/>
      <c r="VCA48" s="952"/>
      <c r="VCB48" s="952"/>
      <c r="VCC48" s="952"/>
      <c r="VCD48" s="952"/>
      <c r="VCE48" s="952"/>
      <c r="VCF48" s="952"/>
      <c r="VCG48" s="952"/>
      <c r="VCH48" s="952"/>
      <c r="VCI48" s="952"/>
      <c r="VCJ48" s="952"/>
      <c r="VCK48" s="952"/>
      <c r="VCL48" s="952"/>
      <c r="VCM48" s="952"/>
      <c r="VCN48" s="952"/>
      <c r="VCO48" s="952"/>
      <c r="VCP48" s="952"/>
      <c r="VCQ48" s="952"/>
      <c r="VCR48" s="952"/>
      <c r="VCS48" s="952"/>
      <c r="VCT48" s="952"/>
      <c r="VCU48" s="952"/>
      <c r="VCV48" s="952"/>
      <c r="VCW48" s="952"/>
      <c r="VCX48" s="952"/>
      <c r="VCY48" s="952"/>
      <c r="VCZ48" s="952"/>
      <c r="VDA48" s="952"/>
      <c r="VDB48" s="952"/>
      <c r="VDC48" s="952"/>
      <c r="VDD48" s="952"/>
      <c r="VDE48" s="952"/>
      <c r="VDF48" s="952"/>
      <c r="VDG48" s="952"/>
      <c r="VDH48" s="952"/>
      <c r="VDI48" s="952"/>
      <c r="VDJ48" s="952"/>
      <c r="VDK48" s="952"/>
      <c r="VDL48" s="952"/>
      <c r="VDM48" s="952"/>
      <c r="VDN48" s="952"/>
      <c r="VDO48" s="952"/>
      <c r="VDP48" s="952"/>
      <c r="VDQ48" s="952"/>
      <c r="VDR48" s="952"/>
      <c r="VDS48" s="952"/>
      <c r="VDT48" s="952"/>
      <c r="VDU48" s="952"/>
      <c r="VDV48" s="952"/>
      <c r="VDW48" s="952"/>
      <c r="VDX48" s="952"/>
      <c r="VDY48" s="952"/>
      <c r="VDZ48" s="952"/>
      <c r="VEA48" s="952"/>
      <c r="VEB48" s="952"/>
      <c r="VEC48" s="952"/>
      <c r="VED48" s="952"/>
      <c r="VEE48" s="952"/>
      <c r="VEF48" s="952"/>
      <c r="VEG48" s="952"/>
      <c r="VEH48" s="952"/>
      <c r="VEI48" s="952"/>
      <c r="VEJ48" s="952"/>
      <c r="VEK48" s="952"/>
      <c r="VEL48" s="952"/>
      <c r="VEM48" s="952"/>
      <c r="VEN48" s="952"/>
      <c r="VEO48" s="952"/>
      <c r="VEP48" s="952"/>
      <c r="VEQ48" s="952"/>
      <c r="VER48" s="952"/>
      <c r="VES48" s="952"/>
      <c r="VET48" s="952"/>
      <c r="VEU48" s="952"/>
      <c r="VEV48" s="952"/>
      <c r="VEW48" s="952"/>
      <c r="VEX48" s="952"/>
      <c r="VEY48" s="952"/>
      <c r="VEZ48" s="952"/>
      <c r="VFA48" s="952"/>
      <c r="VFB48" s="952"/>
      <c r="VFC48" s="952"/>
      <c r="VFD48" s="952"/>
      <c r="VFE48" s="952"/>
      <c r="VFF48" s="952"/>
      <c r="VFG48" s="952"/>
      <c r="VFH48" s="952"/>
      <c r="VFI48" s="952"/>
      <c r="VFJ48" s="952"/>
      <c r="VFK48" s="952"/>
      <c r="VFL48" s="952"/>
      <c r="VFM48" s="952"/>
      <c r="VFN48" s="952"/>
      <c r="VFO48" s="952"/>
      <c r="VFP48" s="952"/>
      <c r="VFQ48" s="952"/>
      <c r="VFR48" s="952"/>
      <c r="VFS48" s="952"/>
      <c r="VFT48" s="952"/>
      <c r="VFU48" s="952"/>
      <c r="VFV48" s="952"/>
      <c r="VFW48" s="952"/>
      <c r="VFX48" s="952"/>
      <c r="VFY48" s="952"/>
      <c r="VFZ48" s="952"/>
      <c r="VGA48" s="952"/>
      <c r="VGB48" s="952"/>
      <c r="VGC48" s="952"/>
      <c r="VGD48" s="952"/>
      <c r="VGE48" s="952"/>
      <c r="VGF48" s="952"/>
      <c r="VGG48" s="952"/>
      <c r="VGH48" s="952"/>
      <c r="VGI48" s="952"/>
      <c r="VGJ48" s="952"/>
      <c r="VGK48" s="952"/>
      <c r="VGL48" s="952"/>
      <c r="VGM48" s="952"/>
      <c r="VGN48" s="952"/>
      <c r="VGO48" s="952"/>
      <c r="VGP48" s="952"/>
      <c r="VGQ48" s="952"/>
      <c r="VGR48" s="952"/>
      <c r="VGS48" s="952"/>
      <c r="VGT48" s="952"/>
      <c r="VGU48" s="952"/>
      <c r="VGV48" s="952"/>
      <c r="VGW48" s="952"/>
      <c r="VGX48" s="952"/>
      <c r="VGY48" s="952"/>
      <c r="VGZ48" s="952"/>
      <c r="VHA48" s="952"/>
      <c r="VHB48" s="952"/>
      <c r="VHC48" s="952"/>
      <c r="VHD48" s="952"/>
      <c r="VHE48" s="952"/>
      <c r="VHF48" s="952"/>
      <c r="VHG48" s="952"/>
      <c r="VHH48" s="952"/>
      <c r="VHI48" s="952"/>
      <c r="VHJ48" s="952"/>
      <c r="VHK48" s="952"/>
      <c r="VHL48" s="952"/>
      <c r="VHM48" s="952"/>
      <c r="VHN48" s="952"/>
      <c r="VHO48" s="952"/>
      <c r="VHP48" s="952"/>
      <c r="VHQ48" s="952"/>
      <c r="VHR48" s="952"/>
      <c r="VHS48" s="952"/>
      <c r="VHT48" s="952"/>
      <c r="VHU48" s="952"/>
      <c r="VHV48" s="952"/>
      <c r="VHW48" s="952"/>
      <c r="VHX48" s="952"/>
      <c r="VHY48" s="952"/>
      <c r="VHZ48" s="952"/>
      <c r="VIA48" s="952"/>
      <c r="VIB48" s="952"/>
      <c r="VIC48" s="952"/>
      <c r="VID48" s="952"/>
      <c r="VIE48" s="952"/>
      <c r="VIF48" s="952"/>
      <c r="VIG48" s="952"/>
      <c r="VIH48" s="952"/>
      <c r="VII48" s="952"/>
      <c r="VIJ48" s="952"/>
      <c r="VIK48" s="952"/>
      <c r="VIL48" s="952"/>
      <c r="VIM48" s="952"/>
      <c r="VIN48" s="952"/>
      <c r="VIO48" s="952"/>
      <c r="VIP48" s="952"/>
      <c r="VIQ48" s="952"/>
      <c r="VIR48" s="952"/>
      <c r="VIS48" s="952"/>
      <c r="VIT48" s="952"/>
      <c r="VIU48" s="952"/>
      <c r="VIV48" s="952"/>
      <c r="VIW48" s="952"/>
      <c r="VIX48" s="952"/>
      <c r="VIY48" s="952"/>
      <c r="VIZ48" s="952"/>
      <c r="VJA48" s="952"/>
      <c r="VJB48" s="952"/>
      <c r="VJC48" s="952"/>
      <c r="VJD48" s="952"/>
      <c r="VJE48" s="952"/>
      <c r="VJF48" s="952"/>
      <c r="VJG48" s="952"/>
      <c r="VJH48" s="952"/>
      <c r="VJI48" s="952"/>
      <c r="VJJ48" s="952"/>
      <c r="VJK48" s="952"/>
      <c r="VJL48" s="952"/>
      <c r="VJM48" s="952"/>
      <c r="VJN48" s="952"/>
      <c r="VJO48" s="952"/>
      <c r="VJP48" s="952"/>
      <c r="VJQ48" s="952"/>
      <c r="VJR48" s="952"/>
      <c r="VJS48" s="952"/>
      <c r="VJT48" s="952"/>
      <c r="VJU48" s="952"/>
      <c r="VJV48" s="952"/>
      <c r="VJW48" s="952"/>
      <c r="VJX48" s="952"/>
      <c r="VJY48" s="952"/>
      <c r="VJZ48" s="952"/>
      <c r="VKA48" s="952"/>
      <c r="VKB48" s="952"/>
      <c r="VKC48" s="952"/>
      <c r="VKD48" s="952"/>
      <c r="VKE48" s="952"/>
      <c r="VKF48" s="952"/>
      <c r="VKG48" s="952"/>
      <c r="VKH48" s="952"/>
      <c r="VKI48" s="952"/>
      <c r="VKJ48" s="952"/>
      <c r="VKK48" s="952"/>
      <c r="VKL48" s="952"/>
      <c r="VKM48" s="952"/>
      <c r="VKN48" s="952"/>
      <c r="VKO48" s="952"/>
      <c r="VKP48" s="952"/>
      <c r="VKQ48" s="952"/>
      <c r="VKR48" s="952"/>
      <c r="VKS48" s="952"/>
      <c r="VKT48" s="952"/>
      <c r="VKU48" s="952"/>
      <c r="VKV48" s="952"/>
      <c r="VKW48" s="952"/>
      <c r="VKX48" s="952"/>
      <c r="VKY48" s="952"/>
      <c r="VKZ48" s="952"/>
      <c r="VLA48" s="952"/>
      <c r="VLB48" s="952"/>
      <c r="VLC48" s="952"/>
      <c r="VLD48" s="952"/>
      <c r="VLE48" s="952"/>
      <c r="VLF48" s="952"/>
      <c r="VLG48" s="952"/>
      <c r="VLH48" s="952"/>
      <c r="VLI48" s="952"/>
      <c r="VLJ48" s="952"/>
      <c r="VLK48" s="952"/>
      <c r="VLL48" s="952"/>
      <c r="VLM48" s="952"/>
      <c r="VLN48" s="952"/>
      <c r="VLO48" s="952"/>
      <c r="VLP48" s="952"/>
      <c r="VLQ48" s="952"/>
      <c r="VLR48" s="952"/>
      <c r="VLS48" s="952"/>
      <c r="VLT48" s="952"/>
      <c r="VLU48" s="952"/>
      <c r="VLV48" s="952"/>
      <c r="VLW48" s="952"/>
      <c r="VLX48" s="952"/>
      <c r="VLY48" s="952"/>
      <c r="VLZ48" s="952"/>
      <c r="VMA48" s="952"/>
      <c r="VMB48" s="952"/>
      <c r="VMC48" s="952"/>
      <c r="VMD48" s="952"/>
      <c r="VME48" s="952"/>
      <c r="VMF48" s="952"/>
      <c r="VMG48" s="952"/>
      <c r="VMH48" s="952"/>
      <c r="VMI48" s="952"/>
      <c r="VMJ48" s="952"/>
      <c r="VMK48" s="952"/>
      <c r="VML48" s="952"/>
      <c r="VMM48" s="952"/>
      <c r="VMN48" s="952"/>
      <c r="VMO48" s="952"/>
      <c r="VMP48" s="952"/>
      <c r="VMQ48" s="952"/>
      <c r="VMR48" s="952"/>
      <c r="VMS48" s="952"/>
      <c r="VMT48" s="952"/>
      <c r="VMU48" s="952"/>
      <c r="VMV48" s="952"/>
      <c r="VMW48" s="952"/>
      <c r="VMX48" s="952"/>
      <c r="VMY48" s="952"/>
      <c r="VMZ48" s="952"/>
      <c r="VNA48" s="952"/>
      <c r="VNB48" s="952"/>
      <c r="VNC48" s="952"/>
      <c r="VND48" s="952"/>
      <c r="VNE48" s="952"/>
      <c r="VNF48" s="952"/>
      <c r="VNG48" s="952"/>
      <c r="VNH48" s="952"/>
      <c r="VNI48" s="952"/>
      <c r="VNJ48" s="952"/>
      <c r="VNK48" s="952"/>
      <c r="VNL48" s="952"/>
      <c r="VNM48" s="952"/>
      <c r="VNN48" s="952"/>
      <c r="VNO48" s="952"/>
      <c r="VNP48" s="952"/>
      <c r="VNQ48" s="952"/>
      <c r="VNR48" s="952"/>
      <c r="VNS48" s="952"/>
      <c r="VNT48" s="952"/>
      <c r="VNU48" s="952"/>
      <c r="VNV48" s="952"/>
      <c r="VNW48" s="952"/>
      <c r="VNX48" s="952"/>
      <c r="VNY48" s="952"/>
      <c r="VNZ48" s="952"/>
      <c r="VOA48" s="952"/>
      <c r="VOB48" s="952"/>
      <c r="VOC48" s="952"/>
      <c r="VOD48" s="952"/>
      <c r="VOE48" s="952"/>
      <c r="VOF48" s="952"/>
      <c r="VOG48" s="952"/>
      <c r="VOH48" s="952"/>
      <c r="VOI48" s="952"/>
      <c r="VOJ48" s="952"/>
      <c r="VOK48" s="952"/>
      <c r="VOL48" s="952"/>
      <c r="VOM48" s="952"/>
      <c r="VON48" s="952"/>
      <c r="VOO48" s="952"/>
      <c r="VOP48" s="952"/>
      <c r="VOQ48" s="952"/>
      <c r="VOR48" s="952"/>
      <c r="VOS48" s="952"/>
      <c r="VOT48" s="952"/>
      <c r="VOU48" s="952"/>
      <c r="VOV48" s="952"/>
      <c r="VOW48" s="952"/>
      <c r="VOX48" s="952"/>
      <c r="VOY48" s="952"/>
      <c r="VOZ48" s="952"/>
      <c r="VPA48" s="952"/>
      <c r="VPB48" s="952"/>
      <c r="VPC48" s="952"/>
      <c r="VPD48" s="952"/>
      <c r="VPE48" s="952"/>
      <c r="VPF48" s="952"/>
      <c r="VPG48" s="952"/>
      <c r="VPH48" s="952"/>
      <c r="VPI48" s="952"/>
      <c r="VPJ48" s="952"/>
      <c r="VPK48" s="952"/>
      <c r="VPL48" s="952"/>
      <c r="VPM48" s="952"/>
      <c r="VPN48" s="952"/>
      <c r="VPO48" s="952"/>
      <c r="VPP48" s="952"/>
      <c r="VPQ48" s="952"/>
      <c r="VPR48" s="952"/>
      <c r="VPS48" s="952"/>
      <c r="VPT48" s="952"/>
      <c r="VPU48" s="952"/>
      <c r="VPV48" s="952"/>
      <c r="VPW48" s="952"/>
      <c r="VPX48" s="952"/>
      <c r="VPY48" s="952"/>
      <c r="VPZ48" s="952"/>
      <c r="VQA48" s="952"/>
      <c r="VQB48" s="952"/>
      <c r="VQC48" s="952"/>
      <c r="VQD48" s="952"/>
      <c r="VQE48" s="952"/>
      <c r="VQF48" s="952"/>
      <c r="VQG48" s="952"/>
      <c r="VQH48" s="952"/>
      <c r="VQI48" s="952"/>
      <c r="VQJ48" s="952"/>
      <c r="VQK48" s="952"/>
      <c r="VQL48" s="952"/>
      <c r="VQM48" s="952"/>
      <c r="VQN48" s="952"/>
      <c r="VQO48" s="952"/>
      <c r="VQP48" s="952"/>
      <c r="VQQ48" s="952"/>
      <c r="VQR48" s="952"/>
      <c r="VQS48" s="952"/>
      <c r="VQT48" s="952"/>
      <c r="VQU48" s="952"/>
      <c r="VQV48" s="952"/>
      <c r="VQW48" s="952"/>
      <c r="VQX48" s="952"/>
      <c r="VQY48" s="952"/>
      <c r="VQZ48" s="952"/>
      <c r="VRA48" s="952"/>
      <c r="VRB48" s="952"/>
      <c r="VRC48" s="952"/>
      <c r="VRD48" s="952"/>
      <c r="VRE48" s="952"/>
      <c r="VRF48" s="952"/>
      <c r="VRG48" s="952"/>
      <c r="VRH48" s="952"/>
      <c r="VRI48" s="952"/>
      <c r="VRJ48" s="952"/>
      <c r="VRK48" s="952"/>
      <c r="VRL48" s="952"/>
      <c r="VRM48" s="952"/>
      <c r="VRN48" s="952"/>
      <c r="VRO48" s="952"/>
      <c r="VRP48" s="952"/>
      <c r="VRQ48" s="952"/>
      <c r="VRR48" s="952"/>
      <c r="VRS48" s="952"/>
      <c r="VRT48" s="952"/>
      <c r="VRU48" s="952"/>
      <c r="VRV48" s="952"/>
      <c r="VRW48" s="952"/>
      <c r="VRX48" s="952"/>
      <c r="VRY48" s="952"/>
      <c r="VRZ48" s="952"/>
      <c r="VSA48" s="952"/>
      <c r="VSB48" s="952"/>
      <c r="VSC48" s="952"/>
      <c r="VSD48" s="952"/>
      <c r="VSE48" s="952"/>
      <c r="VSF48" s="952"/>
      <c r="VSG48" s="952"/>
      <c r="VSH48" s="952"/>
      <c r="VSI48" s="952"/>
      <c r="VSJ48" s="952"/>
      <c r="VSK48" s="952"/>
      <c r="VSL48" s="952"/>
      <c r="VSM48" s="952"/>
      <c r="VSN48" s="952"/>
      <c r="VSO48" s="952"/>
      <c r="VSP48" s="952"/>
      <c r="VSQ48" s="952"/>
      <c r="VSR48" s="952"/>
      <c r="VSS48" s="952"/>
      <c r="VST48" s="952"/>
      <c r="VSU48" s="952"/>
      <c r="VSV48" s="952"/>
      <c r="VSW48" s="952"/>
      <c r="VSX48" s="952"/>
      <c r="VSY48" s="952"/>
      <c r="VSZ48" s="952"/>
      <c r="VTA48" s="952"/>
      <c r="VTB48" s="952"/>
      <c r="VTC48" s="952"/>
      <c r="VTD48" s="952"/>
      <c r="VTE48" s="952"/>
      <c r="VTF48" s="952"/>
      <c r="VTG48" s="952"/>
      <c r="VTH48" s="952"/>
      <c r="VTI48" s="952"/>
      <c r="VTJ48" s="952"/>
      <c r="VTK48" s="952"/>
      <c r="VTL48" s="952"/>
      <c r="VTM48" s="952"/>
      <c r="VTN48" s="952"/>
      <c r="VTO48" s="952"/>
      <c r="VTP48" s="952"/>
      <c r="VTQ48" s="952"/>
      <c r="VTR48" s="952"/>
      <c r="VTS48" s="952"/>
      <c r="VTT48" s="952"/>
      <c r="VTU48" s="952"/>
      <c r="VTV48" s="952"/>
      <c r="VTW48" s="952"/>
      <c r="VTX48" s="952"/>
      <c r="VTY48" s="952"/>
      <c r="VTZ48" s="952"/>
      <c r="VUA48" s="952"/>
      <c r="VUB48" s="952"/>
      <c r="VUC48" s="952"/>
      <c r="VUD48" s="952"/>
      <c r="VUE48" s="952"/>
      <c r="VUF48" s="952"/>
      <c r="VUG48" s="952"/>
      <c r="VUH48" s="952"/>
      <c r="VUI48" s="952"/>
      <c r="VUJ48" s="952"/>
      <c r="VUK48" s="952"/>
      <c r="VUL48" s="952"/>
      <c r="VUM48" s="952"/>
      <c r="VUN48" s="952"/>
      <c r="VUO48" s="952"/>
      <c r="VUP48" s="952"/>
      <c r="VUQ48" s="952"/>
      <c r="VUR48" s="952"/>
      <c r="VUS48" s="952"/>
      <c r="VUT48" s="952"/>
      <c r="VUU48" s="952"/>
      <c r="VUV48" s="952"/>
      <c r="VUW48" s="952"/>
      <c r="VUX48" s="952"/>
      <c r="VUY48" s="952"/>
      <c r="VUZ48" s="952"/>
      <c r="VVA48" s="952"/>
      <c r="VVB48" s="952"/>
      <c r="VVC48" s="952"/>
      <c r="VVD48" s="952"/>
      <c r="VVE48" s="952"/>
      <c r="VVF48" s="952"/>
      <c r="VVG48" s="952"/>
      <c r="VVH48" s="952"/>
      <c r="VVI48" s="952"/>
      <c r="VVJ48" s="952"/>
      <c r="VVK48" s="952"/>
      <c r="VVL48" s="952"/>
      <c r="VVM48" s="952"/>
      <c r="VVN48" s="952"/>
      <c r="VVO48" s="952"/>
      <c r="VVP48" s="952"/>
      <c r="VVQ48" s="952"/>
      <c r="VVR48" s="952"/>
      <c r="VVS48" s="952"/>
      <c r="VVT48" s="952"/>
      <c r="VVU48" s="952"/>
      <c r="VVV48" s="952"/>
      <c r="VVW48" s="952"/>
      <c r="VVX48" s="952"/>
      <c r="VVY48" s="952"/>
      <c r="VVZ48" s="952"/>
      <c r="VWA48" s="952"/>
      <c r="VWB48" s="952"/>
      <c r="VWC48" s="952"/>
      <c r="VWD48" s="952"/>
      <c r="VWE48" s="952"/>
      <c r="VWF48" s="952"/>
      <c r="VWG48" s="952"/>
      <c r="VWH48" s="952"/>
      <c r="VWI48" s="952"/>
      <c r="VWJ48" s="952"/>
      <c r="VWK48" s="952"/>
      <c r="VWL48" s="952"/>
      <c r="VWM48" s="952"/>
      <c r="VWN48" s="952"/>
      <c r="VWO48" s="952"/>
      <c r="VWP48" s="952"/>
      <c r="VWQ48" s="952"/>
      <c r="VWR48" s="952"/>
      <c r="VWS48" s="952"/>
      <c r="VWT48" s="952"/>
      <c r="VWU48" s="952"/>
      <c r="VWV48" s="952"/>
      <c r="VWW48" s="952"/>
      <c r="VWX48" s="952"/>
      <c r="VWY48" s="952"/>
      <c r="VWZ48" s="952"/>
      <c r="VXA48" s="952"/>
      <c r="VXB48" s="952"/>
      <c r="VXC48" s="952"/>
      <c r="VXD48" s="952"/>
      <c r="VXE48" s="952"/>
      <c r="VXF48" s="952"/>
      <c r="VXG48" s="952"/>
      <c r="VXH48" s="952"/>
      <c r="VXI48" s="952"/>
      <c r="VXJ48" s="952"/>
      <c r="VXK48" s="952"/>
      <c r="VXL48" s="952"/>
      <c r="VXM48" s="952"/>
      <c r="VXN48" s="952"/>
      <c r="VXO48" s="952"/>
      <c r="VXP48" s="952"/>
      <c r="VXQ48" s="952"/>
      <c r="VXR48" s="952"/>
      <c r="VXS48" s="952"/>
      <c r="VXT48" s="952"/>
      <c r="VXU48" s="952"/>
      <c r="VXV48" s="952"/>
      <c r="VXW48" s="952"/>
      <c r="VXX48" s="952"/>
      <c r="VXY48" s="952"/>
      <c r="VXZ48" s="952"/>
      <c r="VYA48" s="952"/>
      <c r="VYB48" s="952"/>
      <c r="VYC48" s="952"/>
      <c r="VYD48" s="952"/>
      <c r="VYE48" s="952"/>
      <c r="VYF48" s="952"/>
      <c r="VYG48" s="952"/>
      <c r="VYH48" s="952"/>
      <c r="VYI48" s="952"/>
      <c r="VYJ48" s="952"/>
      <c r="VYK48" s="952"/>
      <c r="VYL48" s="952"/>
      <c r="VYM48" s="952"/>
      <c r="VYN48" s="952"/>
      <c r="VYO48" s="952"/>
      <c r="VYP48" s="952"/>
      <c r="VYQ48" s="952"/>
      <c r="VYR48" s="952"/>
      <c r="VYS48" s="952"/>
      <c r="VYT48" s="952"/>
      <c r="VYU48" s="952"/>
      <c r="VYV48" s="952"/>
      <c r="VYW48" s="952"/>
      <c r="VYX48" s="952"/>
      <c r="VYY48" s="952"/>
      <c r="VYZ48" s="952"/>
      <c r="VZA48" s="952"/>
      <c r="VZB48" s="952"/>
      <c r="VZC48" s="952"/>
      <c r="VZD48" s="952"/>
      <c r="VZE48" s="952"/>
      <c r="VZF48" s="952"/>
      <c r="VZG48" s="952"/>
      <c r="VZH48" s="952"/>
      <c r="VZI48" s="952"/>
      <c r="VZJ48" s="952"/>
      <c r="VZK48" s="952"/>
      <c r="VZL48" s="952"/>
      <c r="VZM48" s="952"/>
      <c r="VZN48" s="952"/>
      <c r="VZO48" s="952"/>
      <c r="VZP48" s="952"/>
      <c r="VZQ48" s="952"/>
      <c r="VZR48" s="952"/>
      <c r="VZS48" s="952"/>
      <c r="VZT48" s="952"/>
      <c r="VZU48" s="952"/>
      <c r="VZV48" s="952"/>
      <c r="VZW48" s="952"/>
      <c r="VZX48" s="952"/>
      <c r="VZY48" s="952"/>
      <c r="VZZ48" s="952"/>
      <c r="WAA48" s="952"/>
      <c r="WAB48" s="952"/>
      <c r="WAC48" s="952"/>
      <c r="WAD48" s="952"/>
      <c r="WAE48" s="952"/>
      <c r="WAF48" s="952"/>
      <c r="WAG48" s="952"/>
      <c r="WAH48" s="952"/>
      <c r="WAI48" s="952"/>
      <c r="WAJ48" s="952"/>
      <c r="WAK48" s="952"/>
      <c r="WAL48" s="952"/>
      <c r="WAM48" s="952"/>
      <c r="WAN48" s="952"/>
      <c r="WAO48" s="952"/>
      <c r="WAP48" s="952"/>
      <c r="WAQ48" s="952"/>
      <c r="WAR48" s="952"/>
      <c r="WAS48" s="952"/>
      <c r="WAT48" s="952"/>
      <c r="WAU48" s="952"/>
      <c r="WAV48" s="952"/>
      <c r="WAW48" s="952"/>
      <c r="WAX48" s="952"/>
      <c r="WAY48" s="952"/>
      <c r="WAZ48" s="952"/>
      <c r="WBA48" s="952"/>
      <c r="WBB48" s="952"/>
      <c r="WBC48" s="952"/>
      <c r="WBD48" s="952"/>
      <c r="WBE48" s="952"/>
      <c r="WBF48" s="952"/>
      <c r="WBG48" s="952"/>
      <c r="WBH48" s="952"/>
      <c r="WBI48" s="952"/>
      <c r="WBJ48" s="952"/>
      <c r="WBK48" s="952"/>
      <c r="WBL48" s="952"/>
      <c r="WBM48" s="952"/>
      <c r="WBN48" s="952"/>
      <c r="WBO48" s="952"/>
      <c r="WBP48" s="952"/>
      <c r="WBQ48" s="952"/>
      <c r="WBR48" s="952"/>
      <c r="WBS48" s="952"/>
      <c r="WBT48" s="952"/>
      <c r="WBU48" s="952"/>
      <c r="WBV48" s="952"/>
      <c r="WBW48" s="952"/>
      <c r="WBX48" s="952"/>
      <c r="WBY48" s="952"/>
      <c r="WBZ48" s="952"/>
      <c r="WCA48" s="952"/>
      <c r="WCB48" s="952"/>
      <c r="WCC48" s="952"/>
      <c r="WCD48" s="952"/>
      <c r="WCE48" s="952"/>
      <c r="WCF48" s="952"/>
      <c r="WCG48" s="952"/>
      <c r="WCH48" s="952"/>
      <c r="WCI48" s="952"/>
      <c r="WCJ48" s="952"/>
      <c r="WCK48" s="952"/>
      <c r="WCL48" s="952"/>
      <c r="WCM48" s="952"/>
      <c r="WCN48" s="952"/>
      <c r="WCO48" s="952"/>
      <c r="WCP48" s="952"/>
      <c r="WCQ48" s="952"/>
      <c r="WCR48" s="952"/>
      <c r="WCS48" s="952"/>
      <c r="WCT48" s="952"/>
      <c r="WCU48" s="952"/>
      <c r="WCV48" s="952"/>
      <c r="WCW48" s="952"/>
      <c r="WCX48" s="952"/>
      <c r="WCY48" s="952"/>
      <c r="WCZ48" s="952"/>
      <c r="WDA48" s="952"/>
      <c r="WDB48" s="952"/>
      <c r="WDC48" s="952"/>
      <c r="WDD48" s="952"/>
      <c r="WDE48" s="952"/>
      <c r="WDF48" s="952"/>
      <c r="WDG48" s="952"/>
      <c r="WDH48" s="952"/>
      <c r="WDI48" s="952"/>
      <c r="WDJ48" s="952"/>
      <c r="WDK48" s="952"/>
      <c r="WDL48" s="952"/>
      <c r="WDM48" s="952"/>
      <c r="WDN48" s="952"/>
      <c r="WDO48" s="952"/>
      <c r="WDP48" s="952"/>
      <c r="WDQ48" s="952"/>
      <c r="WDR48" s="952"/>
      <c r="WDS48" s="952"/>
      <c r="WDT48" s="952"/>
      <c r="WDU48" s="952"/>
      <c r="WDV48" s="952"/>
      <c r="WDW48" s="952"/>
      <c r="WDX48" s="952"/>
      <c r="WDY48" s="952"/>
      <c r="WDZ48" s="952"/>
      <c r="WEA48" s="952"/>
      <c r="WEB48" s="952"/>
      <c r="WEC48" s="952"/>
      <c r="WED48" s="952"/>
      <c r="WEE48" s="952"/>
      <c r="WEF48" s="952"/>
      <c r="WEG48" s="952"/>
      <c r="WEH48" s="952"/>
      <c r="WEI48" s="952"/>
      <c r="WEJ48" s="952"/>
      <c r="WEK48" s="952"/>
      <c r="WEL48" s="952"/>
      <c r="WEM48" s="952"/>
      <c r="WEN48" s="952"/>
      <c r="WEO48" s="952"/>
      <c r="WEP48" s="952"/>
      <c r="WEQ48" s="952"/>
      <c r="WER48" s="952"/>
      <c r="WES48" s="952"/>
      <c r="WET48" s="952"/>
      <c r="WEU48" s="952"/>
      <c r="WEV48" s="952"/>
      <c r="WEW48" s="952"/>
      <c r="WEX48" s="952"/>
      <c r="WEY48" s="952"/>
      <c r="WEZ48" s="952"/>
      <c r="WFA48" s="952"/>
      <c r="WFB48" s="952"/>
      <c r="WFC48" s="952"/>
      <c r="WFD48" s="952"/>
      <c r="WFE48" s="952"/>
      <c r="WFF48" s="952"/>
      <c r="WFG48" s="952"/>
      <c r="WFH48" s="952"/>
      <c r="WFI48" s="952"/>
      <c r="WFJ48" s="952"/>
      <c r="WFK48" s="952"/>
      <c r="WFL48" s="952"/>
      <c r="WFM48" s="952"/>
      <c r="WFN48" s="952"/>
      <c r="WFO48" s="952"/>
      <c r="WFP48" s="952"/>
      <c r="WFQ48" s="952"/>
      <c r="WFR48" s="952"/>
      <c r="WFS48" s="952"/>
      <c r="WFT48" s="952"/>
      <c r="WFU48" s="952"/>
      <c r="WFV48" s="952"/>
      <c r="WFW48" s="952"/>
      <c r="WFX48" s="952"/>
      <c r="WFY48" s="952"/>
      <c r="WFZ48" s="952"/>
      <c r="WGA48" s="952"/>
      <c r="WGB48" s="952"/>
      <c r="WGC48" s="952"/>
      <c r="WGD48" s="952"/>
      <c r="WGE48" s="952"/>
      <c r="WGF48" s="952"/>
      <c r="WGG48" s="952"/>
      <c r="WGH48" s="952"/>
      <c r="WGI48" s="952"/>
      <c r="WGJ48" s="952"/>
      <c r="WGK48" s="952"/>
      <c r="WGL48" s="952"/>
      <c r="WGM48" s="952"/>
      <c r="WGN48" s="952"/>
      <c r="WGO48" s="952"/>
      <c r="WGP48" s="952"/>
      <c r="WGQ48" s="952"/>
      <c r="WGR48" s="952"/>
      <c r="WGS48" s="952"/>
      <c r="WGT48" s="952"/>
      <c r="WGU48" s="952"/>
      <c r="WGV48" s="952"/>
      <c r="WGW48" s="952"/>
      <c r="WGX48" s="952"/>
      <c r="WGY48" s="952"/>
      <c r="WGZ48" s="952"/>
      <c r="WHA48" s="952"/>
      <c r="WHB48" s="952"/>
      <c r="WHC48" s="952"/>
      <c r="WHD48" s="952"/>
      <c r="WHE48" s="952"/>
      <c r="WHF48" s="952"/>
      <c r="WHG48" s="952"/>
      <c r="WHH48" s="952"/>
      <c r="WHI48" s="952"/>
      <c r="WHJ48" s="952"/>
      <c r="WHK48" s="952"/>
      <c r="WHL48" s="952"/>
      <c r="WHM48" s="952"/>
      <c r="WHN48" s="952"/>
      <c r="WHO48" s="952"/>
      <c r="WHP48" s="952"/>
      <c r="WHQ48" s="952"/>
      <c r="WHR48" s="952"/>
      <c r="WHS48" s="952"/>
      <c r="WHT48" s="952"/>
      <c r="WHU48" s="952"/>
      <c r="WHV48" s="952"/>
      <c r="WHW48" s="952"/>
      <c r="WHX48" s="952"/>
      <c r="WHY48" s="952"/>
      <c r="WHZ48" s="952"/>
      <c r="WIA48" s="952"/>
      <c r="WIB48" s="952"/>
      <c r="WIC48" s="952"/>
      <c r="WID48" s="952"/>
      <c r="WIE48" s="952"/>
      <c r="WIF48" s="952"/>
      <c r="WIG48" s="952"/>
      <c r="WIH48" s="952"/>
      <c r="WII48" s="952"/>
      <c r="WIJ48" s="952"/>
      <c r="WIK48" s="952"/>
      <c r="WIL48" s="952"/>
      <c r="WIM48" s="952"/>
      <c r="WIN48" s="952"/>
      <c r="WIO48" s="952"/>
      <c r="WIP48" s="952"/>
      <c r="WIQ48" s="952"/>
      <c r="WIR48" s="952"/>
      <c r="WIS48" s="952"/>
      <c r="WIT48" s="952"/>
      <c r="WIU48" s="952"/>
      <c r="WIV48" s="952"/>
      <c r="WIW48" s="952"/>
      <c r="WIX48" s="952"/>
      <c r="WIY48" s="952"/>
      <c r="WIZ48" s="952"/>
      <c r="WJA48" s="952"/>
      <c r="WJB48" s="952"/>
      <c r="WJC48" s="952"/>
      <c r="WJD48" s="952"/>
      <c r="WJE48" s="952"/>
      <c r="WJF48" s="952"/>
      <c r="WJG48" s="952"/>
      <c r="WJH48" s="952"/>
      <c r="WJI48" s="952"/>
      <c r="WJJ48" s="952"/>
      <c r="WJK48" s="952"/>
      <c r="WJL48" s="952"/>
      <c r="WJM48" s="952"/>
      <c r="WJN48" s="952"/>
      <c r="WJO48" s="952"/>
      <c r="WJP48" s="952"/>
      <c r="WJQ48" s="952"/>
      <c r="WJR48" s="952"/>
      <c r="WJS48" s="952"/>
      <c r="WJT48" s="952"/>
      <c r="WJU48" s="952"/>
      <c r="WJV48" s="952"/>
      <c r="WJW48" s="952"/>
      <c r="WJX48" s="952"/>
      <c r="WJY48" s="952"/>
      <c r="WJZ48" s="952"/>
      <c r="WKA48" s="952"/>
      <c r="WKB48" s="952"/>
      <c r="WKC48" s="952"/>
      <c r="WKD48" s="952"/>
      <c r="WKE48" s="952"/>
      <c r="WKF48" s="952"/>
      <c r="WKG48" s="952"/>
      <c r="WKH48" s="952"/>
      <c r="WKI48" s="952"/>
      <c r="WKJ48" s="952"/>
      <c r="WKK48" s="952"/>
      <c r="WKL48" s="952"/>
      <c r="WKM48" s="952"/>
      <c r="WKN48" s="952"/>
      <c r="WKO48" s="952"/>
      <c r="WKP48" s="952"/>
      <c r="WKQ48" s="952"/>
      <c r="WKR48" s="952"/>
      <c r="WKS48" s="952"/>
      <c r="WKT48" s="952"/>
      <c r="WKU48" s="952"/>
      <c r="WKV48" s="952"/>
      <c r="WKW48" s="952"/>
      <c r="WKX48" s="952"/>
      <c r="WKY48" s="952"/>
      <c r="WKZ48" s="952"/>
      <c r="WLA48" s="952"/>
      <c r="WLB48" s="952"/>
      <c r="WLC48" s="952"/>
      <c r="WLD48" s="952"/>
      <c r="WLE48" s="952"/>
      <c r="WLF48" s="952"/>
      <c r="WLG48" s="952"/>
      <c r="WLH48" s="952"/>
      <c r="WLI48" s="952"/>
      <c r="WLJ48" s="952"/>
      <c r="WLK48" s="952"/>
      <c r="WLL48" s="952"/>
      <c r="WLM48" s="952"/>
      <c r="WLN48" s="952"/>
      <c r="WLO48" s="952"/>
      <c r="WLP48" s="952"/>
      <c r="WLQ48" s="952"/>
      <c r="WLR48" s="952"/>
      <c r="WLS48" s="952"/>
      <c r="WLT48" s="952"/>
      <c r="WLU48" s="952"/>
      <c r="WLV48" s="952"/>
      <c r="WLW48" s="952"/>
      <c r="WLX48" s="952"/>
      <c r="WLY48" s="952"/>
      <c r="WLZ48" s="952"/>
      <c r="WMA48" s="952"/>
      <c r="WMB48" s="952"/>
      <c r="WMC48" s="952"/>
      <c r="WMD48" s="952"/>
      <c r="WME48" s="952"/>
      <c r="WMF48" s="952"/>
      <c r="WMG48" s="952"/>
      <c r="WMH48" s="952"/>
      <c r="WMI48" s="952"/>
      <c r="WMJ48" s="952"/>
      <c r="WMK48" s="952"/>
      <c r="WML48" s="952"/>
      <c r="WMM48" s="952"/>
      <c r="WMN48" s="952"/>
      <c r="WMO48" s="952"/>
      <c r="WMP48" s="952"/>
      <c r="WMQ48" s="952"/>
      <c r="WMR48" s="952"/>
      <c r="WMS48" s="952"/>
      <c r="WMT48" s="952"/>
      <c r="WMU48" s="952"/>
      <c r="WMV48" s="952"/>
      <c r="WMW48" s="952"/>
      <c r="WMX48" s="952"/>
      <c r="WMY48" s="952"/>
      <c r="WMZ48" s="952"/>
      <c r="WNA48" s="952"/>
      <c r="WNB48" s="952"/>
      <c r="WNC48" s="952"/>
      <c r="WND48" s="952"/>
      <c r="WNE48" s="952"/>
      <c r="WNF48" s="952"/>
      <c r="WNG48" s="952"/>
      <c r="WNH48" s="952"/>
      <c r="WNI48" s="952"/>
      <c r="WNJ48" s="952"/>
      <c r="WNK48" s="952"/>
      <c r="WNL48" s="952"/>
      <c r="WNM48" s="952"/>
      <c r="WNN48" s="952"/>
      <c r="WNO48" s="952"/>
      <c r="WNP48" s="952"/>
      <c r="WNQ48" s="952"/>
      <c r="WNR48" s="952"/>
      <c r="WNS48" s="952"/>
      <c r="WNT48" s="952"/>
      <c r="WNU48" s="952"/>
      <c r="WNV48" s="952"/>
      <c r="WNW48" s="952"/>
      <c r="WNX48" s="952"/>
      <c r="WNY48" s="952"/>
      <c r="WNZ48" s="952"/>
      <c r="WOA48" s="952"/>
      <c r="WOB48" s="952"/>
      <c r="WOC48" s="952"/>
      <c r="WOD48" s="952"/>
      <c r="WOE48" s="952"/>
      <c r="WOF48" s="952"/>
      <c r="WOG48" s="952"/>
      <c r="WOH48" s="952"/>
      <c r="WOI48" s="952"/>
      <c r="WOJ48" s="952"/>
      <c r="WOK48" s="952"/>
      <c r="WOL48" s="952"/>
      <c r="WOM48" s="952"/>
      <c r="WON48" s="952"/>
      <c r="WOO48" s="952"/>
      <c r="WOP48" s="952"/>
      <c r="WOQ48" s="952"/>
      <c r="WOR48" s="952"/>
      <c r="WOS48" s="952"/>
      <c r="WOT48" s="952"/>
      <c r="WOU48" s="952"/>
      <c r="WOV48" s="952"/>
      <c r="WOW48" s="952"/>
      <c r="WOX48" s="952"/>
      <c r="WOY48" s="952"/>
      <c r="WOZ48" s="952"/>
      <c r="WPA48" s="952"/>
      <c r="WPB48" s="952"/>
      <c r="WPC48" s="952"/>
      <c r="WPD48" s="952"/>
      <c r="WPE48" s="952"/>
      <c r="WPF48" s="952"/>
      <c r="WPG48" s="952"/>
      <c r="WPH48" s="952"/>
      <c r="WPI48" s="952"/>
      <c r="WPJ48" s="952"/>
      <c r="WPK48" s="952"/>
      <c r="WPL48" s="952"/>
      <c r="WPM48" s="952"/>
      <c r="WPN48" s="952"/>
      <c r="WPO48" s="952"/>
      <c r="WPP48" s="952"/>
      <c r="WPQ48" s="952"/>
      <c r="WPR48" s="952"/>
      <c r="WPS48" s="952"/>
      <c r="WPT48" s="952"/>
      <c r="WPU48" s="952"/>
      <c r="WPV48" s="952"/>
      <c r="WPW48" s="952"/>
      <c r="WPX48" s="952"/>
      <c r="WPY48" s="952"/>
      <c r="WPZ48" s="952"/>
      <c r="WQA48" s="952"/>
      <c r="WQB48" s="952"/>
      <c r="WQC48" s="952"/>
      <c r="WQD48" s="952"/>
      <c r="WQE48" s="952"/>
      <c r="WQF48" s="952"/>
      <c r="WQG48" s="952"/>
      <c r="WQH48" s="952"/>
      <c r="WQI48" s="952"/>
      <c r="WQJ48" s="952"/>
      <c r="WQK48" s="952"/>
      <c r="WQL48" s="952"/>
      <c r="WQM48" s="952"/>
      <c r="WQN48" s="952"/>
      <c r="WQO48" s="952"/>
      <c r="WQP48" s="952"/>
      <c r="WQQ48" s="952"/>
      <c r="WQR48" s="952"/>
      <c r="WQS48" s="952"/>
      <c r="WQT48" s="952"/>
      <c r="WQU48" s="952"/>
      <c r="WQV48" s="952"/>
      <c r="WQW48" s="952"/>
      <c r="WQX48" s="952"/>
      <c r="WQY48" s="952"/>
      <c r="WQZ48" s="952"/>
      <c r="WRA48" s="952"/>
      <c r="WRB48" s="952"/>
      <c r="WRC48" s="952"/>
      <c r="WRD48" s="952"/>
      <c r="WRE48" s="952"/>
      <c r="WRF48" s="952"/>
      <c r="WRG48" s="952"/>
      <c r="WRH48" s="952"/>
      <c r="WRI48" s="952"/>
      <c r="WRJ48" s="952"/>
      <c r="WRK48" s="952"/>
      <c r="WRL48" s="952"/>
      <c r="WRM48" s="952"/>
      <c r="WRN48" s="952"/>
      <c r="WRO48" s="952"/>
      <c r="WRP48" s="952"/>
      <c r="WRQ48" s="952"/>
      <c r="WRR48" s="952"/>
      <c r="WRS48" s="952"/>
      <c r="WRT48" s="952"/>
      <c r="WRU48" s="952"/>
      <c r="WRV48" s="952"/>
      <c r="WRW48" s="952"/>
      <c r="WRX48" s="952"/>
      <c r="WRY48" s="952"/>
      <c r="WRZ48" s="952"/>
      <c r="WSA48" s="952"/>
      <c r="WSB48" s="952"/>
      <c r="WSC48" s="952"/>
      <c r="WSD48" s="952"/>
      <c r="WSE48" s="952"/>
      <c r="WSF48" s="952"/>
      <c r="WSG48" s="952"/>
      <c r="WSH48" s="952"/>
      <c r="WSI48" s="952"/>
      <c r="WSJ48" s="952"/>
      <c r="WSK48" s="952"/>
      <c r="WSL48" s="952"/>
      <c r="WSM48" s="952"/>
      <c r="WSN48" s="952"/>
      <c r="WSO48" s="952"/>
      <c r="WSP48" s="952"/>
      <c r="WSQ48" s="952"/>
      <c r="WSR48" s="952"/>
      <c r="WSS48" s="952"/>
      <c r="WST48" s="952"/>
      <c r="WSU48" s="952"/>
      <c r="WSV48" s="952"/>
      <c r="WSW48" s="952"/>
      <c r="WSX48" s="952"/>
      <c r="WSY48" s="952"/>
      <c r="WSZ48" s="952"/>
      <c r="WTA48" s="952"/>
      <c r="WTB48" s="952"/>
      <c r="WTC48" s="952"/>
      <c r="WTD48" s="952"/>
      <c r="WTE48" s="952"/>
      <c r="WTF48" s="952"/>
      <c r="WTG48" s="952"/>
      <c r="WTH48" s="952"/>
      <c r="WTI48" s="952"/>
      <c r="WTJ48" s="952"/>
      <c r="WTK48" s="952"/>
      <c r="WTL48" s="952"/>
      <c r="WTM48" s="952"/>
      <c r="WTN48" s="952"/>
      <c r="WTO48" s="952"/>
      <c r="WTP48" s="952"/>
      <c r="WTQ48" s="952"/>
      <c r="WTR48" s="952"/>
      <c r="WTS48" s="952"/>
      <c r="WTT48" s="952"/>
      <c r="WTU48" s="952"/>
      <c r="WTV48" s="952"/>
      <c r="WTW48" s="952"/>
      <c r="WTX48" s="952"/>
      <c r="WTY48" s="952"/>
      <c r="WTZ48" s="952"/>
      <c r="WUA48" s="952"/>
      <c r="WUB48" s="952"/>
      <c r="WUC48" s="952"/>
      <c r="WUD48" s="952"/>
      <c r="WUE48" s="952"/>
      <c r="WUF48" s="952"/>
      <c r="WUG48" s="952"/>
      <c r="WUH48" s="952"/>
      <c r="WUI48" s="952"/>
      <c r="WUJ48" s="952"/>
      <c r="WUK48" s="952"/>
      <c r="WUL48" s="952"/>
      <c r="WUM48" s="952"/>
      <c r="WUN48" s="952"/>
      <c r="WUO48" s="952"/>
      <c r="WUP48" s="952"/>
      <c r="WUQ48" s="952"/>
      <c r="WUR48" s="952"/>
      <c r="WUS48" s="952"/>
      <c r="WUT48" s="952"/>
      <c r="WUU48" s="952"/>
      <c r="WUV48" s="952"/>
      <c r="WUW48" s="952"/>
      <c r="WUX48" s="952"/>
      <c r="WUY48" s="952"/>
      <c r="WUZ48" s="952"/>
      <c r="WVA48" s="952"/>
      <c r="WVB48" s="952"/>
      <c r="WVC48" s="952"/>
      <c r="WVD48" s="952"/>
      <c r="WVE48" s="952"/>
      <c r="WVF48" s="952"/>
      <c r="WVG48" s="952"/>
      <c r="WVH48" s="952"/>
      <c r="WVI48" s="952"/>
      <c r="WVJ48" s="952"/>
      <c r="WVK48" s="952"/>
      <c r="WVL48" s="952"/>
      <c r="WVM48" s="952"/>
      <c r="WVN48" s="952"/>
      <c r="WVO48" s="952"/>
      <c r="WVP48" s="952"/>
      <c r="WVQ48" s="952"/>
      <c r="WVR48" s="952"/>
      <c r="WVS48" s="952"/>
      <c r="WVT48" s="952"/>
      <c r="WVU48" s="952"/>
      <c r="WVV48" s="952"/>
      <c r="WVW48" s="952"/>
      <c r="WVX48" s="952"/>
      <c r="WVY48" s="952"/>
      <c r="WVZ48" s="952"/>
      <c r="WWA48" s="952"/>
      <c r="WWB48" s="952"/>
      <c r="WWC48" s="952"/>
      <c r="WWD48" s="952"/>
      <c r="WWE48" s="952"/>
      <c r="WWF48" s="952"/>
      <c r="WWG48" s="952"/>
      <c r="WWH48" s="952"/>
      <c r="WWI48" s="952"/>
      <c r="WWJ48" s="952"/>
      <c r="WWK48" s="952"/>
      <c r="WWL48" s="952"/>
      <c r="WWM48" s="952"/>
      <c r="WWN48" s="952"/>
      <c r="WWO48" s="952"/>
      <c r="WWP48" s="952"/>
      <c r="WWQ48" s="952"/>
      <c r="WWR48" s="952"/>
      <c r="WWS48" s="952"/>
      <c r="WWT48" s="952"/>
      <c r="WWU48" s="952"/>
      <c r="WWV48" s="952"/>
      <c r="WWW48" s="952"/>
      <c r="WWX48" s="952"/>
      <c r="WWY48" s="952"/>
      <c r="WWZ48" s="952"/>
      <c r="WXA48" s="952"/>
      <c r="WXB48" s="952"/>
      <c r="WXC48" s="952"/>
      <c r="WXD48" s="952"/>
      <c r="WXE48" s="952"/>
      <c r="WXF48" s="952"/>
      <c r="WXG48" s="952"/>
      <c r="WXH48" s="952"/>
      <c r="WXI48" s="952"/>
      <c r="WXJ48" s="952"/>
      <c r="WXK48" s="952"/>
      <c r="WXL48" s="952"/>
      <c r="WXM48" s="952"/>
      <c r="WXN48" s="952"/>
      <c r="WXO48" s="952"/>
      <c r="WXP48" s="952"/>
      <c r="WXQ48" s="952"/>
      <c r="WXR48" s="952"/>
      <c r="WXS48" s="952"/>
      <c r="WXT48" s="952"/>
      <c r="WXU48" s="952"/>
      <c r="WXV48" s="952"/>
      <c r="WXW48" s="952"/>
      <c r="WXX48" s="952"/>
      <c r="WXY48" s="952"/>
      <c r="WXZ48" s="952"/>
      <c r="WYA48" s="952"/>
      <c r="WYB48" s="952"/>
      <c r="WYC48" s="952"/>
      <c r="WYD48" s="952"/>
      <c r="WYE48" s="952"/>
      <c r="WYF48" s="952"/>
      <c r="WYG48" s="952"/>
      <c r="WYH48" s="952"/>
      <c r="WYI48" s="952"/>
      <c r="WYJ48" s="952"/>
      <c r="WYK48" s="952"/>
      <c r="WYL48" s="952"/>
      <c r="WYM48" s="952"/>
      <c r="WYN48" s="952"/>
      <c r="WYO48" s="952"/>
      <c r="WYP48" s="952"/>
      <c r="WYQ48" s="952"/>
      <c r="WYR48" s="952"/>
      <c r="WYS48" s="952"/>
      <c r="WYT48" s="952"/>
      <c r="WYU48" s="952"/>
      <c r="WYV48" s="952"/>
      <c r="WYW48" s="952"/>
      <c r="WYX48" s="952"/>
      <c r="WYY48" s="952"/>
      <c r="WYZ48" s="952"/>
      <c r="WZA48" s="952"/>
      <c r="WZB48" s="952"/>
      <c r="WZC48" s="952"/>
      <c r="WZD48" s="952"/>
      <c r="WZE48" s="952"/>
      <c r="WZF48" s="952"/>
      <c r="WZG48" s="952"/>
      <c r="WZH48" s="952"/>
      <c r="WZI48" s="952"/>
      <c r="WZJ48" s="952"/>
      <c r="WZK48" s="952"/>
      <c r="WZL48" s="952"/>
      <c r="WZM48" s="952"/>
      <c r="WZN48" s="952"/>
      <c r="WZO48" s="952"/>
      <c r="WZP48" s="952"/>
      <c r="WZQ48" s="952"/>
      <c r="WZR48" s="952"/>
      <c r="WZS48" s="952"/>
      <c r="WZT48" s="952"/>
      <c r="WZU48" s="952"/>
      <c r="WZV48" s="952"/>
      <c r="WZW48" s="952"/>
      <c r="WZX48" s="952"/>
      <c r="WZY48" s="952"/>
      <c r="WZZ48" s="952"/>
      <c r="XAA48" s="952"/>
      <c r="XAB48" s="952"/>
      <c r="XAC48" s="952"/>
      <c r="XAD48" s="952"/>
      <c r="XAE48" s="952"/>
      <c r="XAF48" s="952"/>
      <c r="XAG48" s="952"/>
      <c r="XAH48" s="952"/>
      <c r="XAI48" s="952"/>
      <c r="XAJ48" s="952"/>
      <c r="XAK48" s="952"/>
      <c r="XAL48" s="952"/>
      <c r="XAM48" s="952"/>
      <c r="XAN48" s="952"/>
      <c r="XAO48" s="952"/>
      <c r="XAP48" s="952"/>
      <c r="XAQ48" s="952"/>
      <c r="XAR48" s="952"/>
      <c r="XAS48" s="952"/>
      <c r="XAT48" s="952"/>
      <c r="XAU48" s="952"/>
      <c r="XAV48" s="952"/>
      <c r="XAW48" s="952"/>
      <c r="XAX48" s="952"/>
      <c r="XAY48" s="952"/>
      <c r="XAZ48" s="952"/>
      <c r="XBA48" s="952"/>
      <c r="XBB48" s="952"/>
      <c r="XBC48" s="952"/>
      <c r="XBD48" s="952"/>
      <c r="XBE48" s="952"/>
      <c r="XBF48" s="952"/>
      <c r="XBG48" s="952"/>
      <c r="XBH48" s="952"/>
      <c r="XBI48" s="952"/>
      <c r="XBJ48" s="952"/>
      <c r="XBK48" s="952"/>
      <c r="XBL48" s="952"/>
      <c r="XBM48" s="952"/>
      <c r="XBN48" s="952"/>
      <c r="XBO48" s="952"/>
      <c r="XBP48" s="952"/>
      <c r="XBQ48" s="952"/>
      <c r="XBR48" s="952"/>
      <c r="XBS48" s="952"/>
      <c r="XBT48" s="952"/>
      <c r="XBU48" s="952"/>
      <c r="XBV48" s="952"/>
      <c r="XBW48" s="952"/>
      <c r="XBX48" s="952"/>
      <c r="XBY48" s="952"/>
      <c r="XBZ48" s="952"/>
      <c r="XCA48" s="952"/>
      <c r="XCB48" s="952"/>
      <c r="XCC48" s="952"/>
      <c r="XCD48" s="952"/>
      <c r="XCE48" s="952"/>
      <c r="XCF48" s="952"/>
      <c r="XCG48" s="952"/>
      <c r="XCH48" s="952"/>
      <c r="XCI48" s="952"/>
      <c r="XCJ48" s="952"/>
      <c r="XCK48" s="952"/>
      <c r="XCL48" s="952"/>
      <c r="XCM48" s="952"/>
      <c r="XCN48" s="952"/>
      <c r="XCO48" s="952"/>
      <c r="XCP48" s="952"/>
      <c r="XCQ48" s="952"/>
      <c r="XCR48" s="952"/>
      <c r="XCS48" s="952"/>
      <c r="XCT48" s="952"/>
      <c r="XCU48" s="952"/>
      <c r="XCV48" s="952"/>
      <c r="XCW48" s="952"/>
      <c r="XCX48" s="952"/>
      <c r="XCY48" s="952"/>
      <c r="XCZ48" s="952"/>
      <c r="XDA48" s="952"/>
      <c r="XDB48" s="952"/>
      <c r="XDC48" s="952"/>
      <c r="XDD48" s="952"/>
      <c r="XDE48" s="952"/>
      <c r="XDF48" s="952"/>
      <c r="XDG48" s="952"/>
      <c r="XDH48" s="952"/>
      <c r="XDI48" s="952"/>
      <c r="XDJ48" s="952"/>
      <c r="XDK48" s="952"/>
      <c r="XDL48" s="952"/>
      <c r="XDM48" s="952"/>
      <c r="XDN48" s="952"/>
      <c r="XDO48" s="952"/>
      <c r="XDP48" s="952"/>
      <c r="XDQ48" s="952"/>
      <c r="XDR48" s="952"/>
      <c r="XDS48" s="952"/>
      <c r="XDT48" s="952"/>
      <c r="XDU48" s="952"/>
      <c r="XDV48" s="952"/>
      <c r="XDW48" s="952"/>
      <c r="XDX48" s="952"/>
      <c r="XDY48" s="952"/>
      <c r="XDZ48" s="952"/>
      <c r="XEA48" s="952"/>
      <c r="XEB48" s="952"/>
      <c r="XEC48" s="952"/>
    </row>
    <row r="49" spans="1:16357" ht="68.25" customHeight="1">
      <c r="A49" s="97" t="s">
        <v>100</v>
      </c>
      <c r="B49" s="102" t="s">
        <v>101</v>
      </c>
      <c r="C49" s="98"/>
      <c r="D49" s="98"/>
      <c r="E49" s="98"/>
      <c r="F49" s="98"/>
      <c r="G49" s="98"/>
      <c r="H49" s="98"/>
      <c r="I49" s="98"/>
      <c r="J49" s="98"/>
      <c r="K49" s="98"/>
      <c r="L49" s="98"/>
      <c r="M49" s="98"/>
      <c r="N49" s="98"/>
      <c r="O49" s="97"/>
      <c r="P49" s="97"/>
      <c r="Q49" s="97"/>
      <c r="R49" s="97"/>
      <c r="S49" s="952"/>
      <c r="T49" s="952"/>
      <c r="U49" s="952"/>
      <c r="V49" s="952"/>
      <c r="W49" s="952"/>
      <c r="X49" s="952"/>
      <c r="Y49" s="952"/>
      <c r="Z49" s="952"/>
      <c r="AA49" s="952"/>
      <c r="AB49" s="952"/>
      <c r="AC49" s="952"/>
      <c r="AD49" s="952"/>
      <c r="AE49" s="952"/>
      <c r="AF49" s="952"/>
      <c r="AG49" s="952"/>
      <c r="AH49" s="7"/>
      <c r="AI49" s="35"/>
      <c r="AJ49" s="7"/>
      <c r="AK49" s="90"/>
      <c r="AL49" s="5"/>
      <c r="AM49" s="168"/>
      <c r="AN49" s="168"/>
      <c r="AO49" s="168"/>
      <c r="AP49" s="168"/>
      <c r="AQ49" s="168"/>
      <c r="AR49" s="168"/>
      <c r="AS49" s="168"/>
      <c r="AT49" s="168"/>
      <c r="AU49" s="168"/>
      <c r="AV49" s="168"/>
      <c r="AW49" s="168"/>
      <c r="AX49" s="952"/>
      <c r="AY49" s="952"/>
      <c r="AZ49" s="952"/>
      <c r="BA49" s="952"/>
      <c r="BB49" s="952"/>
      <c r="BC49" s="952"/>
      <c r="BD49" s="952"/>
      <c r="BE49" s="952"/>
      <c r="BF49" s="952"/>
      <c r="BG49" s="952"/>
      <c r="BH49" s="952"/>
      <c r="BI49" s="952"/>
      <c r="BJ49" s="952"/>
      <c r="BK49" s="952"/>
      <c r="BL49" s="952"/>
      <c r="BM49" s="952"/>
      <c r="BN49" s="952"/>
      <c r="BO49" s="952"/>
      <c r="BP49" s="952"/>
      <c r="BQ49" s="952"/>
      <c r="BR49" s="952"/>
      <c r="BS49" s="952"/>
      <c r="BT49" s="952"/>
      <c r="BU49" s="952"/>
      <c r="BV49" s="168"/>
      <c r="BW49" s="168"/>
      <c r="BX49" s="168"/>
      <c r="BY49" s="952"/>
      <c r="BZ49" s="952"/>
      <c r="CA49" s="952"/>
      <c r="CB49" s="952"/>
      <c r="CC49" s="952"/>
      <c r="CD49" s="952"/>
      <c r="CE49" s="952"/>
      <c r="CF49" s="952"/>
      <c r="CG49" s="952"/>
      <c r="CH49" s="952"/>
      <c r="CI49" s="952"/>
      <c r="CJ49" s="952"/>
      <c r="CK49" s="952"/>
      <c r="CL49" s="952"/>
      <c r="CM49" s="952"/>
      <c r="CN49" s="952"/>
      <c r="CO49" s="952"/>
      <c r="CP49" s="952"/>
      <c r="CQ49" s="952"/>
      <c r="CR49" s="952"/>
      <c r="CS49" s="952"/>
      <c r="CT49" s="952"/>
      <c r="CU49" s="952"/>
      <c r="CV49" s="952"/>
      <c r="CW49" s="952"/>
      <c r="CX49" s="952"/>
      <c r="CY49" s="952"/>
      <c r="CZ49" s="952"/>
      <c r="DA49" s="952"/>
      <c r="DB49" s="952"/>
      <c r="DC49" s="952"/>
      <c r="DD49" s="952"/>
      <c r="DE49" s="952"/>
      <c r="DF49" s="952"/>
      <c r="DG49" s="952"/>
      <c r="DH49" s="952"/>
      <c r="DI49" s="952"/>
      <c r="DJ49" s="952"/>
      <c r="DK49" s="952"/>
      <c r="DL49" s="952"/>
      <c r="DM49" s="952"/>
      <c r="DN49" s="952"/>
      <c r="DO49" s="952"/>
      <c r="DP49" s="952"/>
      <c r="DQ49" s="952"/>
      <c r="DR49" s="952"/>
      <c r="DS49" s="952"/>
      <c r="DT49" s="952"/>
      <c r="DU49" s="952"/>
      <c r="DV49" s="952"/>
      <c r="DW49" s="952"/>
      <c r="DX49" s="952"/>
      <c r="DY49" s="952"/>
      <c r="DZ49" s="952"/>
      <c r="EA49" s="952"/>
      <c r="EB49" s="952"/>
      <c r="EC49" s="952"/>
      <c r="ED49" s="952"/>
      <c r="EE49" s="952"/>
      <c r="EF49" s="952"/>
      <c r="EG49" s="952"/>
      <c r="EH49" s="952"/>
      <c r="EI49" s="952"/>
      <c r="EJ49" s="952"/>
      <c r="EK49" s="952"/>
      <c r="EL49" s="952"/>
      <c r="EM49" s="952"/>
      <c r="EN49" s="952"/>
      <c r="EO49" s="952"/>
      <c r="EP49" s="952"/>
      <c r="EQ49" s="952"/>
      <c r="ER49" s="952"/>
      <c r="ES49" s="952"/>
      <c r="ET49" s="952"/>
      <c r="EU49" s="952"/>
      <c r="EV49" s="952"/>
      <c r="EW49" s="952"/>
      <c r="EX49" s="952"/>
      <c r="EY49" s="952"/>
      <c r="EZ49" s="952"/>
      <c r="FA49" s="952"/>
      <c r="FB49" s="952"/>
      <c r="FC49" s="952"/>
      <c r="FD49" s="952"/>
      <c r="FE49" s="952"/>
      <c r="FF49" s="952"/>
      <c r="FG49" s="952"/>
      <c r="FH49" s="952"/>
      <c r="FI49" s="952"/>
      <c r="FJ49" s="952"/>
      <c r="FK49" s="952"/>
      <c r="FL49" s="952"/>
      <c r="FM49" s="952"/>
      <c r="FN49" s="952"/>
      <c r="FO49" s="952"/>
      <c r="FP49" s="952"/>
      <c r="FQ49" s="952"/>
      <c r="FR49" s="952"/>
      <c r="FS49" s="952"/>
      <c r="FT49" s="952"/>
      <c r="FU49" s="952"/>
      <c r="FV49" s="952"/>
      <c r="FW49" s="952"/>
      <c r="FX49" s="952"/>
      <c r="FY49" s="952"/>
      <c r="FZ49" s="952"/>
      <c r="GA49" s="952"/>
      <c r="GB49" s="952"/>
      <c r="GC49" s="952"/>
      <c r="GD49" s="952"/>
      <c r="GE49" s="952"/>
      <c r="GF49" s="952"/>
      <c r="GG49" s="952"/>
      <c r="GH49" s="952"/>
      <c r="GI49" s="952"/>
      <c r="GJ49" s="952"/>
      <c r="GK49" s="952"/>
      <c r="GL49" s="952"/>
      <c r="GM49" s="952"/>
      <c r="GN49" s="952"/>
      <c r="GO49" s="952"/>
      <c r="GP49" s="952"/>
      <c r="GQ49" s="952"/>
      <c r="GR49" s="952"/>
      <c r="GS49" s="952"/>
      <c r="GT49" s="952"/>
      <c r="GU49" s="952"/>
      <c r="GV49" s="952"/>
      <c r="GW49" s="952"/>
      <c r="GX49" s="952"/>
      <c r="GY49" s="952"/>
      <c r="GZ49" s="952"/>
      <c r="HA49" s="952"/>
      <c r="HB49" s="952"/>
      <c r="HC49" s="952"/>
      <c r="HD49" s="952"/>
      <c r="HE49" s="952"/>
      <c r="HF49" s="952"/>
      <c r="HG49" s="952"/>
      <c r="HH49" s="952"/>
      <c r="HI49" s="952"/>
      <c r="HJ49" s="952"/>
      <c r="HK49" s="952"/>
      <c r="HL49" s="952"/>
      <c r="HM49" s="952"/>
      <c r="HN49" s="952"/>
      <c r="HO49" s="952"/>
      <c r="HP49" s="952"/>
      <c r="HQ49" s="952"/>
      <c r="HR49" s="952"/>
      <c r="HS49" s="952"/>
      <c r="HT49" s="952"/>
      <c r="HU49" s="952"/>
      <c r="HV49" s="952"/>
      <c r="HW49" s="952"/>
      <c r="HX49" s="952"/>
      <c r="HY49" s="952"/>
      <c r="HZ49" s="952"/>
      <c r="IA49" s="952"/>
      <c r="IB49" s="952"/>
      <c r="IC49" s="952"/>
      <c r="ID49" s="952"/>
      <c r="IE49" s="952"/>
      <c r="IF49" s="952"/>
      <c r="IG49" s="952"/>
      <c r="IH49" s="952"/>
      <c r="II49" s="952"/>
      <c r="IJ49" s="952"/>
      <c r="IK49" s="952"/>
      <c r="IL49" s="952"/>
      <c r="IM49" s="952"/>
      <c r="IN49" s="952"/>
      <c r="IO49" s="952"/>
      <c r="IP49" s="952"/>
      <c r="IQ49" s="952"/>
      <c r="IR49" s="952"/>
      <c r="IS49" s="952"/>
      <c r="IT49" s="952"/>
      <c r="IU49" s="952"/>
      <c r="IV49" s="952"/>
      <c r="IW49" s="952"/>
      <c r="IX49" s="952"/>
      <c r="IY49" s="952"/>
      <c r="IZ49" s="952"/>
      <c r="JA49" s="952"/>
      <c r="JB49" s="952"/>
      <c r="JC49" s="952"/>
      <c r="JD49" s="952"/>
      <c r="JE49" s="952"/>
      <c r="JF49" s="952"/>
      <c r="JG49" s="952"/>
      <c r="JH49" s="952"/>
      <c r="JI49" s="952"/>
      <c r="JJ49" s="952"/>
      <c r="JK49" s="952"/>
      <c r="JL49" s="952"/>
      <c r="JM49" s="952"/>
      <c r="JN49" s="952"/>
      <c r="JO49" s="952"/>
      <c r="JP49" s="952"/>
      <c r="JQ49" s="952"/>
      <c r="JR49" s="952"/>
      <c r="JS49" s="952"/>
      <c r="JT49" s="952"/>
      <c r="JU49" s="952"/>
      <c r="JV49" s="952"/>
      <c r="JW49" s="952"/>
      <c r="JX49" s="952"/>
      <c r="JY49" s="952"/>
      <c r="JZ49" s="952"/>
      <c r="KA49" s="952"/>
      <c r="KB49" s="952"/>
      <c r="KC49" s="952"/>
      <c r="KD49" s="952"/>
      <c r="KE49" s="952"/>
      <c r="KF49" s="952"/>
      <c r="KG49" s="952"/>
      <c r="KH49" s="952"/>
      <c r="KI49" s="952"/>
      <c r="KJ49" s="952"/>
      <c r="KK49" s="952"/>
      <c r="KL49" s="952"/>
      <c r="KM49" s="952"/>
      <c r="KN49" s="952"/>
      <c r="KO49" s="952"/>
      <c r="KP49" s="952"/>
      <c r="KQ49" s="952"/>
      <c r="KR49" s="952"/>
      <c r="KS49" s="952"/>
      <c r="KT49" s="952"/>
      <c r="KU49" s="952"/>
      <c r="KV49" s="952"/>
      <c r="KW49" s="952"/>
      <c r="KX49" s="952"/>
      <c r="KY49" s="952"/>
      <c r="KZ49" s="952"/>
      <c r="LA49" s="952"/>
      <c r="LB49" s="952"/>
      <c r="LC49" s="952"/>
      <c r="LD49" s="952"/>
      <c r="LE49" s="952"/>
      <c r="LF49" s="952"/>
      <c r="LG49" s="952"/>
      <c r="LH49" s="952"/>
      <c r="LI49" s="952"/>
      <c r="LJ49" s="952"/>
      <c r="LK49" s="952"/>
      <c r="LL49" s="952"/>
      <c r="LM49" s="952"/>
      <c r="LN49" s="952"/>
      <c r="LO49" s="952"/>
      <c r="LP49" s="952"/>
      <c r="LQ49" s="952"/>
      <c r="LR49" s="952"/>
      <c r="LS49" s="952"/>
      <c r="LT49" s="952"/>
      <c r="LU49" s="952"/>
      <c r="LV49" s="952"/>
      <c r="LW49" s="952"/>
      <c r="LX49" s="952"/>
      <c r="LY49" s="952"/>
      <c r="LZ49" s="952"/>
      <c r="MA49" s="952"/>
      <c r="MB49" s="952"/>
      <c r="MC49" s="952"/>
      <c r="MD49" s="952"/>
      <c r="ME49" s="952"/>
      <c r="MF49" s="952"/>
      <c r="MG49" s="952"/>
      <c r="MH49" s="952"/>
      <c r="MI49" s="952"/>
      <c r="MJ49" s="952"/>
      <c r="MK49" s="952"/>
      <c r="ML49" s="952"/>
      <c r="MM49" s="952"/>
      <c r="MN49" s="952"/>
      <c r="MO49" s="952"/>
      <c r="MP49" s="952"/>
      <c r="MQ49" s="952"/>
      <c r="MR49" s="952"/>
      <c r="MS49" s="952"/>
      <c r="MT49" s="952"/>
      <c r="MU49" s="952"/>
      <c r="MV49" s="952"/>
      <c r="MW49" s="952"/>
      <c r="MX49" s="952"/>
      <c r="MY49" s="952"/>
      <c r="MZ49" s="952"/>
      <c r="NA49" s="952"/>
      <c r="NB49" s="952"/>
      <c r="NC49" s="952"/>
      <c r="ND49" s="952"/>
      <c r="NE49" s="952"/>
      <c r="NF49" s="952"/>
      <c r="NG49" s="952"/>
      <c r="NH49" s="952"/>
      <c r="NI49" s="952"/>
      <c r="NJ49" s="952"/>
      <c r="NK49" s="952"/>
      <c r="NL49" s="952"/>
      <c r="NM49" s="952"/>
      <c r="NN49" s="952"/>
      <c r="NO49" s="952"/>
      <c r="NP49" s="952"/>
      <c r="NQ49" s="952"/>
      <c r="NR49" s="952"/>
      <c r="NS49" s="952"/>
      <c r="NT49" s="952"/>
      <c r="NU49" s="952"/>
      <c r="NV49" s="952"/>
      <c r="NW49" s="952"/>
      <c r="NX49" s="952"/>
      <c r="NY49" s="952"/>
      <c r="NZ49" s="952"/>
      <c r="OA49" s="952"/>
      <c r="OB49" s="952"/>
      <c r="OC49" s="952"/>
      <c r="OD49" s="952"/>
      <c r="OE49" s="952"/>
      <c r="OF49" s="952"/>
      <c r="OG49" s="952"/>
      <c r="OH49" s="952"/>
      <c r="OI49" s="952"/>
      <c r="OJ49" s="952"/>
      <c r="OK49" s="952"/>
      <c r="OL49" s="952"/>
      <c r="OM49" s="952"/>
      <c r="ON49" s="952"/>
      <c r="OO49" s="952"/>
      <c r="OP49" s="952"/>
      <c r="OQ49" s="952"/>
      <c r="OR49" s="952"/>
      <c r="OS49" s="952"/>
      <c r="OT49" s="952"/>
      <c r="OU49" s="952"/>
      <c r="OV49" s="952"/>
      <c r="OW49" s="952"/>
      <c r="OX49" s="952"/>
      <c r="OY49" s="952"/>
      <c r="OZ49" s="952"/>
      <c r="PA49" s="952"/>
      <c r="PB49" s="952"/>
      <c r="PC49" s="952"/>
      <c r="PD49" s="952"/>
      <c r="PE49" s="952"/>
      <c r="PF49" s="952"/>
      <c r="PG49" s="952"/>
      <c r="PH49" s="952"/>
      <c r="PI49" s="952"/>
      <c r="PJ49" s="952"/>
      <c r="PK49" s="952"/>
      <c r="PL49" s="952"/>
      <c r="PM49" s="952"/>
      <c r="PN49" s="952"/>
      <c r="PO49" s="952"/>
      <c r="PP49" s="952"/>
      <c r="PQ49" s="952"/>
      <c r="PR49" s="952"/>
      <c r="PS49" s="952"/>
      <c r="PT49" s="952"/>
      <c r="PU49" s="952"/>
      <c r="PV49" s="952"/>
      <c r="PW49" s="952"/>
      <c r="PX49" s="952"/>
      <c r="PY49" s="952"/>
      <c r="PZ49" s="952"/>
      <c r="QA49" s="952"/>
      <c r="QB49" s="952"/>
      <c r="QC49" s="952"/>
      <c r="QD49" s="952"/>
      <c r="QE49" s="952"/>
      <c r="QF49" s="952"/>
      <c r="QG49" s="952"/>
      <c r="QH49" s="952"/>
      <c r="QI49" s="952"/>
      <c r="QJ49" s="952"/>
      <c r="QK49" s="952"/>
      <c r="QL49" s="952"/>
      <c r="QM49" s="952"/>
      <c r="QN49" s="952"/>
      <c r="QO49" s="952"/>
      <c r="QP49" s="952"/>
      <c r="QQ49" s="952"/>
      <c r="QR49" s="952"/>
      <c r="QS49" s="952"/>
      <c r="QT49" s="952"/>
      <c r="QU49" s="952"/>
      <c r="QV49" s="952"/>
      <c r="QW49" s="952"/>
      <c r="QX49" s="952"/>
      <c r="QY49" s="952"/>
      <c r="QZ49" s="952"/>
      <c r="RA49" s="952"/>
      <c r="RB49" s="952"/>
      <c r="RC49" s="952"/>
      <c r="RD49" s="952"/>
      <c r="RE49" s="952"/>
      <c r="RF49" s="952"/>
      <c r="RG49" s="952"/>
      <c r="RH49" s="952"/>
      <c r="RI49" s="952"/>
      <c r="RJ49" s="952"/>
      <c r="RK49" s="952"/>
      <c r="RL49" s="952"/>
      <c r="RM49" s="952"/>
      <c r="RN49" s="952"/>
      <c r="RO49" s="952"/>
      <c r="RP49" s="952"/>
      <c r="RQ49" s="952"/>
      <c r="RR49" s="952"/>
      <c r="RS49" s="952"/>
      <c r="RT49" s="952"/>
      <c r="RU49" s="952"/>
      <c r="RV49" s="952"/>
      <c r="RW49" s="952"/>
      <c r="RX49" s="952"/>
      <c r="RY49" s="952"/>
      <c r="RZ49" s="952"/>
      <c r="SA49" s="952"/>
      <c r="SB49" s="952"/>
      <c r="SC49" s="952"/>
      <c r="SD49" s="952"/>
      <c r="SE49" s="952"/>
      <c r="SF49" s="952"/>
      <c r="SG49" s="952"/>
      <c r="SH49" s="952"/>
      <c r="SI49" s="952"/>
      <c r="SJ49" s="952"/>
      <c r="SK49" s="952"/>
      <c r="SL49" s="952"/>
      <c r="SM49" s="952"/>
      <c r="SN49" s="952"/>
      <c r="SO49" s="952"/>
      <c r="SP49" s="952"/>
      <c r="SQ49" s="952"/>
      <c r="SR49" s="952"/>
      <c r="SS49" s="952"/>
      <c r="ST49" s="952"/>
      <c r="SU49" s="952"/>
      <c r="SV49" s="952"/>
      <c r="SW49" s="952"/>
      <c r="SX49" s="952"/>
      <c r="SY49" s="952"/>
      <c r="SZ49" s="952"/>
      <c r="TA49" s="952"/>
      <c r="TB49" s="952"/>
      <c r="TC49" s="952"/>
      <c r="TD49" s="952"/>
      <c r="TE49" s="952"/>
      <c r="TF49" s="952"/>
      <c r="TG49" s="952"/>
      <c r="TH49" s="952"/>
      <c r="TI49" s="952"/>
      <c r="TJ49" s="952"/>
      <c r="TK49" s="952"/>
      <c r="TL49" s="952"/>
      <c r="TM49" s="952"/>
      <c r="TN49" s="952"/>
      <c r="TO49" s="952"/>
      <c r="TP49" s="952"/>
      <c r="TQ49" s="952"/>
      <c r="TR49" s="952"/>
      <c r="TS49" s="952"/>
      <c r="TT49" s="952"/>
      <c r="TU49" s="952"/>
      <c r="TV49" s="952"/>
      <c r="TW49" s="952"/>
      <c r="TX49" s="952"/>
      <c r="TY49" s="952"/>
      <c r="TZ49" s="952"/>
      <c r="UA49" s="952"/>
      <c r="UB49" s="952"/>
      <c r="UC49" s="952"/>
      <c r="UD49" s="952"/>
      <c r="UE49" s="952"/>
      <c r="UF49" s="952"/>
      <c r="UG49" s="952"/>
      <c r="UH49" s="952"/>
      <c r="UI49" s="952"/>
      <c r="UJ49" s="952"/>
      <c r="UK49" s="952"/>
      <c r="UL49" s="952"/>
      <c r="UM49" s="952"/>
      <c r="UN49" s="952"/>
      <c r="UO49" s="952"/>
      <c r="UP49" s="952"/>
      <c r="UQ49" s="952"/>
      <c r="UR49" s="952"/>
      <c r="US49" s="952"/>
      <c r="UT49" s="952"/>
      <c r="UU49" s="952"/>
      <c r="UV49" s="952"/>
      <c r="UW49" s="952"/>
      <c r="UX49" s="952"/>
      <c r="UY49" s="952"/>
      <c r="UZ49" s="952"/>
      <c r="VA49" s="952"/>
      <c r="VB49" s="952"/>
      <c r="VC49" s="952"/>
      <c r="VD49" s="952"/>
      <c r="VE49" s="952"/>
      <c r="VF49" s="952"/>
      <c r="VG49" s="952"/>
      <c r="VH49" s="952"/>
      <c r="VI49" s="952"/>
      <c r="VJ49" s="952"/>
      <c r="VK49" s="952"/>
      <c r="VL49" s="952"/>
      <c r="VM49" s="952"/>
      <c r="VN49" s="952"/>
      <c r="VO49" s="952"/>
      <c r="VP49" s="952"/>
      <c r="VQ49" s="952"/>
      <c r="VR49" s="952"/>
      <c r="VS49" s="952"/>
      <c r="VT49" s="952"/>
      <c r="VU49" s="952"/>
      <c r="VV49" s="952"/>
      <c r="VW49" s="952"/>
      <c r="VX49" s="952"/>
      <c r="VY49" s="952"/>
      <c r="VZ49" s="952"/>
      <c r="WA49" s="952"/>
      <c r="WB49" s="952"/>
      <c r="WC49" s="952"/>
      <c r="WD49" s="952"/>
      <c r="WE49" s="952"/>
      <c r="WF49" s="952"/>
      <c r="WG49" s="952"/>
      <c r="WH49" s="952"/>
      <c r="WI49" s="952"/>
      <c r="WJ49" s="952"/>
      <c r="WK49" s="952"/>
      <c r="WL49" s="952"/>
      <c r="WM49" s="952"/>
      <c r="WN49" s="952"/>
      <c r="WO49" s="952"/>
      <c r="WP49" s="952"/>
      <c r="WQ49" s="952"/>
      <c r="WR49" s="952"/>
      <c r="WS49" s="952"/>
      <c r="WT49" s="952"/>
      <c r="WU49" s="952"/>
      <c r="WV49" s="952"/>
      <c r="WW49" s="952"/>
      <c r="WX49" s="952"/>
      <c r="WY49" s="952"/>
      <c r="WZ49" s="952"/>
      <c r="XA49" s="952"/>
      <c r="XB49" s="952"/>
      <c r="XC49" s="952"/>
      <c r="XD49" s="952"/>
      <c r="XE49" s="952"/>
      <c r="XF49" s="952"/>
      <c r="XG49" s="952"/>
      <c r="XH49" s="952"/>
      <c r="XI49" s="952"/>
      <c r="XJ49" s="952"/>
      <c r="XK49" s="952"/>
      <c r="XL49" s="952"/>
      <c r="XM49" s="952"/>
      <c r="XN49" s="952"/>
      <c r="XO49" s="952"/>
      <c r="XP49" s="952"/>
      <c r="XQ49" s="952"/>
      <c r="XR49" s="952"/>
      <c r="XS49" s="952"/>
      <c r="XT49" s="952"/>
      <c r="XU49" s="952"/>
      <c r="XV49" s="952"/>
      <c r="XW49" s="952"/>
      <c r="XX49" s="952"/>
      <c r="XY49" s="952"/>
      <c r="XZ49" s="952"/>
      <c r="YA49" s="952"/>
      <c r="YB49" s="952"/>
      <c r="YC49" s="952"/>
      <c r="YD49" s="952"/>
      <c r="YE49" s="952"/>
      <c r="YF49" s="952"/>
      <c r="YG49" s="952"/>
      <c r="YH49" s="952"/>
      <c r="YI49" s="952"/>
      <c r="YJ49" s="952"/>
      <c r="YK49" s="952"/>
      <c r="YL49" s="952"/>
      <c r="YM49" s="952"/>
      <c r="YN49" s="952"/>
      <c r="YO49" s="952"/>
      <c r="YP49" s="952"/>
      <c r="YQ49" s="952"/>
      <c r="YR49" s="952"/>
      <c r="YS49" s="952"/>
      <c r="YT49" s="952"/>
      <c r="YU49" s="952"/>
      <c r="YV49" s="952"/>
      <c r="YW49" s="952"/>
      <c r="YX49" s="952"/>
      <c r="YY49" s="952"/>
      <c r="YZ49" s="952"/>
      <c r="ZA49" s="952"/>
      <c r="ZB49" s="952"/>
      <c r="ZC49" s="952"/>
      <c r="ZD49" s="952"/>
      <c r="ZE49" s="952"/>
      <c r="ZF49" s="952"/>
      <c r="ZG49" s="952"/>
      <c r="ZH49" s="952"/>
      <c r="ZI49" s="952"/>
      <c r="ZJ49" s="952"/>
      <c r="ZK49" s="952"/>
      <c r="ZL49" s="952"/>
      <c r="ZM49" s="952"/>
      <c r="ZN49" s="952"/>
      <c r="ZO49" s="952"/>
      <c r="ZP49" s="952"/>
      <c r="ZQ49" s="952"/>
      <c r="ZR49" s="952"/>
      <c r="ZS49" s="952"/>
      <c r="ZT49" s="952"/>
      <c r="ZU49" s="952"/>
      <c r="ZV49" s="952"/>
      <c r="ZW49" s="952"/>
      <c r="ZX49" s="952"/>
      <c r="ZY49" s="952"/>
      <c r="ZZ49" s="952"/>
      <c r="AAA49" s="952"/>
      <c r="AAB49" s="952"/>
      <c r="AAC49" s="952"/>
      <c r="AAD49" s="952"/>
      <c r="AAE49" s="952"/>
      <c r="AAF49" s="952"/>
      <c r="AAG49" s="952"/>
      <c r="AAH49" s="952"/>
      <c r="AAI49" s="952"/>
      <c r="AAJ49" s="952"/>
      <c r="AAK49" s="952"/>
      <c r="AAL49" s="952"/>
      <c r="AAM49" s="952"/>
      <c r="AAN49" s="952"/>
      <c r="AAO49" s="952"/>
      <c r="AAP49" s="952"/>
      <c r="AAQ49" s="952"/>
      <c r="AAR49" s="952"/>
      <c r="AAS49" s="952"/>
      <c r="AAT49" s="952"/>
      <c r="AAU49" s="952"/>
      <c r="AAV49" s="952"/>
      <c r="AAW49" s="952"/>
      <c r="AAX49" s="952"/>
      <c r="AAY49" s="952"/>
      <c r="AAZ49" s="952"/>
      <c r="ABA49" s="952"/>
      <c r="ABB49" s="952"/>
      <c r="ABC49" s="952"/>
      <c r="ABD49" s="952"/>
      <c r="ABE49" s="952"/>
      <c r="ABF49" s="952"/>
      <c r="ABG49" s="952"/>
      <c r="ABH49" s="952"/>
      <c r="ABI49" s="952"/>
      <c r="ABJ49" s="952"/>
      <c r="ABK49" s="952"/>
      <c r="ABL49" s="952"/>
      <c r="ABM49" s="952"/>
      <c r="ABN49" s="952"/>
      <c r="ABO49" s="952"/>
      <c r="ABP49" s="952"/>
      <c r="ABQ49" s="952"/>
      <c r="ABR49" s="952"/>
      <c r="ABS49" s="952"/>
      <c r="ABT49" s="952"/>
      <c r="ABU49" s="952"/>
      <c r="ABV49" s="952"/>
      <c r="ABW49" s="952"/>
      <c r="ABX49" s="952"/>
      <c r="ABY49" s="952"/>
      <c r="ABZ49" s="952"/>
      <c r="ACA49" s="952"/>
      <c r="ACB49" s="952"/>
      <c r="ACC49" s="952"/>
      <c r="ACD49" s="952"/>
      <c r="ACE49" s="952"/>
      <c r="ACF49" s="952"/>
      <c r="ACG49" s="952"/>
      <c r="ACH49" s="952"/>
      <c r="ACI49" s="952"/>
      <c r="ACJ49" s="952"/>
      <c r="ACK49" s="952"/>
      <c r="ACL49" s="952"/>
      <c r="ACM49" s="952"/>
      <c r="ACN49" s="952"/>
      <c r="ACO49" s="952"/>
      <c r="ACP49" s="952"/>
      <c r="ACQ49" s="952"/>
      <c r="ACR49" s="952"/>
      <c r="ACS49" s="952"/>
      <c r="ACT49" s="952"/>
      <c r="ACU49" s="952"/>
      <c r="ACV49" s="952"/>
      <c r="ACW49" s="952"/>
      <c r="ACX49" s="952"/>
      <c r="ACY49" s="952"/>
      <c r="ACZ49" s="952"/>
      <c r="ADA49" s="952"/>
      <c r="ADB49" s="952"/>
      <c r="ADC49" s="952"/>
      <c r="ADD49" s="952"/>
      <c r="ADE49" s="952"/>
      <c r="ADF49" s="952"/>
      <c r="ADG49" s="952"/>
      <c r="ADH49" s="952"/>
      <c r="ADI49" s="952"/>
      <c r="ADJ49" s="952"/>
      <c r="ADK49" s="952"/>
      <c r="ADL49" s="952"/>
      <c r="ADM49" s="952"/>
      <c r="ADN49" s="952"/>
      <c r="ADO49" s="952"/>
      <c r="ADP49" s="952"/>
      <c r="ADQ49" s="952"/>
      <c r="ADR49" s="952"/>
      <c r="ADS49" s="952"/>
      <c r="ADT49" s="952"/>
      <c r="ADU49" s="952"/>
      <c r="ADV49" s="952"/>
      <c r="ADW49" s="952"/>
      <c r="ADX49" s="952"/>
      <c r="ADY49" s="952"/>
      <c r="ADZ49" s="952"/>
      <c r="AEA49" s="952"/>
      <c r="AEB49" s="952"/>
      <c r="AEC49" s="952"/>
      <c r="AED49" s="952"/>
      <c r="AEE49" s="952"/>
      <c r="AEF49" s="952"/>
      <c r="AEG49" s="952"/>
      <c r="AEH49" s="952"/>
      <c r="AEI49" s="952"/>
      <c r="AEJ49" s="952"/>
      <c r="AEK49" s="952"/>
      <c r="AEL49" s="952"/>
      <c r="AEM49" s="952"/>
      <c r="AEN49" s="952"/>
      <c r="AEO49" s="952"/>
      <c r="AEP49" s="952"/>
      <c r="AEQ49" s="952"/>
      <c r="AER49" s="952"/>
      <c r="AES49" s="952"/>
      <c r="AET49" s="952"/>
      <c r="AEU49" s="952"/>
      <c r="AEV49" s="952"/>
      <c r="AEW49" s="952"/>
      <c r="AEX49" s="952"/>
      <c r="AEY49" s="952"/>
      <c r="AEZ49" s="952"/>
      <c r="AFA49" s="952"/>
      <c r="AFB49" s="952"/>
      <c r="AFC49" s="952"/>
      <c r="AFD49" s="952"/>
      <c r="AFE49" s="952"/>
      <c r="AFF49" s="952"/>
      <c r="AFG49" s="952"/>
      <c r="AFH49" s="952"/>
      <c r="AFI49" s="952"/>
      <c r="AFJ49" s="952"/>
      <c r="AFK49" s="952"/>
      <c r="AFL49" s="952"/>
      <c r="AFM49" s="952"/>
      <c r="AFN49" s="952"/>
      <c r="AFO49" s="952"/>
      <c r="AFP49" s="952"/>
      <c r="AFQ49" s="952"/>
      <c r="AFR49" s="952"/>
      <c r="AFS49" s="952"/>
      <c r="AFT49" s="952"/>
      <c r="AFU49" s="952"/>
      <c r="AFV49" s="952"/>
      <c r="AFW49" s="952"/>
      <c r="AFX49" s="952"/>
      <c r="AFY49" s="952"/>
      <c r="AFZ49" s="952"/>
      <c r="AGA49" s="952"/>
      <c r="AGB49" s="952"/>
      <c r="AGC49" s="952"/>
      <c r="AGD49" s="952"/>
      <c r="AGE49" s="952"/>
      <c r="AGF49" s="952"/>
      <c r="AGG49" s="952"/>
      <c r="AGH49" s="952"/>
      <c r="AGI49" s="952"/>
      <c r="AGJ49" s="952"/>
      <c r="AGK49" s="952"/>
      <c r="AGL49" s="952"/>
      <c r="AGM49" s="952"/>
      <c r="AGN49" s="952"/>
      <c r="AGO49" s="952"/>
      <c r="AGP49" s="952"/>
      <c r="AGQ49" s="952"/>
      <c r="AGR49" s="952"/>
      <c r="AGS49" s="952"/>
      <c r="AGT49" s="952"/>
      <c r="AGU49" s="952"/>
      <c r="AGV49" s="952"/>
      <c r="AGW49" s="952"/>
      <c r="AGX49" s="952"/>
      <c r="AGY49" s="952"/>
      <c r="AGZ49" s="952"/>
      <c r="AHA49" s="952"/>
      <c r="AHB49" s="952"/>
      <c r="AHC49" s="952"/>
      <c r="AHD49" s="952"/>
      <c r="AHE49" s="952"/>
      <c r="AHF49" s="952"/>
      <c r="AHG49" s="952"/>
      <c r="AHH49" s="952"/>
      <c r="AHI49" s="952"/>
      <c r="AHJ49" s="952"/>
      <c r="AHK49" s="952"/>
      <c r="AHL49" s="952"/>
      <c r="AHM49" s="952"/>
      <c r="AHN49" s="952"/>
      <c r="AHO49" s="952"/>
      <c r="AHP49" s="952"/>
      <c r="AHQ49" s="952"/>
      <c r="AHR49" s="952"/>
      <c r="AHS49" s="952"/>
      <c r="AHT49" s="952"/>
      <c r="AHU49" s="952"/>
      <c r="AHV49" s="952"/>
      <c r="AHW49" s="952"/>
      <c r="AHX49" s="952"/>
      <c r="AHY49" s="952"/>
      <c r="AHZ49" s="952"/>
      <c r="AIA49" s="952"/>
      <c r="AIB49" s="952"/>
      <c r="AIC49" s="952"/>
      <c r="AID49" s="952"/>
      <c r="AIE49" s="952"/>
      <c r="AIF49" s="952"/>
      <c r="AIG49" s="952"/>
      <c r="AIH49" s="952"/>
      <c r="AII49" s="952"/>
      <c r="AIJ49" s="952"/>
      <c r="AIK49" s="952"/>
      <c r="AIL49" s="952"/>
      <c r="AIM49" s="952"/>
      <c r="AIN49" s="952"/>
      <c r="AIO49" s="952"/>
      <c r="AIP49" s="952"/>
      <c r="AIQ49" s="952"/>
      <c r="AIR49" s="952"/>
      <c r="AIS49" s="952"/>
      <c r="AIT49" s="952"/>
      <c r="AIU49" s="952"/>
      <c r="AIV49" s="952"/>
      <c r="AIW49" s="952"/>
      <c r="AIX49" s="952"/>
      <c r="AIY49" s="952"/>
      <c r="AIZ49" s="952"/>
      <c r="AJA49" s="952"/>
      <c r="AJB49" s="952"/>
      <c r="AJC49" s="952"/>
      <c r="AJD49" s="952"/>
      <c r="AJE49" s="952"/>
      <c r="AJF49" s="952"/>
      <c r="AJG49" s="952"/>
      <c r="AJH49" s="952"/>
      <c r="AJI49" s="952"/>
      <c r="AJJ49" s="952"/>
      <c r="AJK49" s="952"/>
      <c r="AJL49" s="952"/>
      <c r="AJM49" s="952"/>
      <c r="AJN49" s="952"/>
      <c r="AJO49" s="952"/>
      <c r="AJP49" s="952"/>
      <c r="AJQ49" s="952"/>
      <c r="AJR49" s="952"/>
      <c r="AJS49" s="952"/>
      <c r="AJT49" s="952"/>
      <c r="AJU49" s="952"/>
      <c r="AJV49" s="952"/>
      <c r="AJW49" s="952"/>
      <c r="AJX49" s="952"/>
      <c r="AJY49" s="952"/>
      <c r="AJZ49" s="952"/>
      <c r="AKA49" s="952"/>
      <c r="AKB49" s="952"/>
      <c r="AKC49" s="952"/>
      <c r="AKD49" s="952"/>
      <c r="AKE49" s="952"/>
      <c r="AKF49" s="952"/>
      <c r="AKG49" s="952"/>
      <c r="AKH49" s="952"/>
      <c r="AKI49" s="952"/>
      <c r="AKJ49" s="952"/>
      <c r="AKK49" s="952"/>
      <c r="AKL49" s="952"/>
      <c r="AKM49" s="952"/>
      <c r="AKN49" s="952"/>
      <c r="AKO49" s="952"/>
      <c r="AKP49" s="952"/>
      <c r="AKQ49" s="952"/>
      <c r="AKR49" s="952"/>
      <c r="AKS49" s="952"/>
      <c r="AKT49" s="952"/>
      <c r="AKU49" s="952"/>
      <c r="AKV49" s="952"/>
      <c r="AKW49" s="952"/>
      <c r="AKX49" s="952"/>
      <c r="AKY49" s="952"/>
      <c r="AKZ49" s="952"/>
      <c r="ALA49" s="952"/>
      <c r="ALB49" s="952"/>
      <c r="ALC49" s="952"/>
      <c r="ALD49" s="952"/>
      <c r="ALE49" s="952"/>
      <c r="ALF49" s="952"/>
      <c r="ALG49" s="952"/>
      <c r="ALH49" s="952"/>
      <c r="ALI49" s="952"/>
      <c r="ALJ49" s="952"/>
      <c r="ALK49" s="952"/>
      <c r="ALL49" s="952"/>
      <c r="ALM49" s="952"/>
      <c r="ALN49" s="952"/>
      <c r="ALO49" s="952"/>
      <c r="ALP49" s="952"/>
      <c r="ALQ49" s="952"/>
      <c r="ALR49" s="952"/>
      <c r="ALS49" s="952"/>
      <c r="ALT49" s="952"/>
      <c r="ALU49" s="952"/>
      <c r="ALV49" s="952"/>
      <c r="ALW49" s="952"/>
      <c r="ALX49" s="952"/>
      <c r="ALY49" s="952"/>
      <c r="ALZ49" s="952"/>
      <c r="AMA49" s="952"/>
      <c r="AMB49" s="952"/>
      <c r="AMC49" s="952"/>
      <c r="AMD49" s="952"/>
      <c r="AME49" s="952"/>
      <c r="AMF49" s="952"/>
      <c r="AMG49" s="952"/>
      <c r="AMH49" s="952"/>
      <c r="AMI49" s="952"/>
      <c r="AMJ49" s="952"/>
      <c r="AMK49" s="952"/>
      <c r="AML49" s="952"/>
      <c r="AMM49" s="952"/>
      <c r="AMN49" s="952"/>
      <c r="AMO49" s="952"/>
      <c r="AMP49" s="952"/>
      <c r="AMQ49" s="952"/>
      <c r="AMR49" s="952"/>
      <c r="AMS49" s="952"/>
      <c r="AMT49" s="952"/>
      <c r="AMU49" s="952"/>
      <c r="AMV49" s="952"/>
      <c r="AMW49" s="952"/>
      <c r="AMX49" s="952"/>
      <c r="AMY49" s="952"/>
      <c r="AMZ49" s="952"/>
      <c r="ANA49" s="952"/>
      <c r="ANB49" s="952"/>
      <c r="ANC49" s="952"/>
      <c r="AND49" s="952"/>
      <c r="ANE49" s="952"/>
      <c r="ANF49" s="952"/>
      <c r="ANG49" s="952"/>
      <c r="ANH49" s="952"/>
      <c r="ANI49" s="952"/>
      <c r="ANJ49" s="952"/>
      <c r="ANK49" s="952"/>
      <c r="ANL49" s="952"/>
      <c r="ANM49" s="952"/>
      <c r="ANN49" s="952"/>
      <c r="ANO49" s="952"/>
      <c r="ANP49" s="952"/>
      <c r="ANQ49" s="952"/>
      <c r="ANR49" s="952"/>
      <c r="ANS49" s="952"/>
      <c r="ANT49" s="952"/>
      <c r="ANU49" s="952"/>
      <c r="ANV49" s="952"/>
      <c r="ANW49" s="952"/>
      <c r="ANX49" s="952"/>
      <c r="ANY49" s="952"/>
      <c r="ANZ49" s="952"/>
      <c r="AOA49" s="952"/>
      <c r="AOB49" s="952"/>
      <c r="AOC49" s="952"/>
      <c r="AOD49" s="952"/>
      <c r="AOE49" s="952"/>
      <c r="AOF49" s="952"/>
      <c r="AOG49" s="952"/>
      <c r="AOH49" s="952"/>
      <c r="AOI49" s="952"/>
      <c r="AOJ49" s="952"/>
      <c r="AOK49" s="952"/>
      <c r="AOL49" s="952"/>
      <c r="AOM49" s="952"/>
      <c r="AON49" s="952"/>
      <c r="AOO49" s="952"/>
      <c r="AOP49" s="952"/>
      <c r="AOQ49" s="952"/>
      <c r="AOR49" s="952"/>
      <c r="AOS49" s="952"/>
      <c r="AOT49" s="952"/>
      <c r="AOU49" s="952"/>
      <c r="AOV49" s="952"/>
      <c r="AOW49" s="952"/>
      <c r="AOX49" s="952"/>
      <c r="AOY49" s="952"/>
      <c r="AOZ49" s="952"/>
      <c r="APA49" s="952"/>
      <c r="APB49" s="952"/>
      <c r="APC49" s="952"/>
      <c r="APD49" s="952"/>
      <c r="APE49" s="952"/>
      <c r="APF49" s="952"/>
      <c r="APG49" s="952"/>
      <c r="APH49" s="952"/>
      <c r="API49" s="952"/>
      <c r="APJ49" s="952"/>
      <c r="APK49" s="952"/>
      <c r="APL49" s="952"/>
      <c r="APM49" s="952"/>
      <c r="APN49" s="952"/>
      <c r="APO49" s="952"/>
      <c r="APP49" s="952"/>
      <c r="APQ49" s="952"/>
      <c r="APR49" s="952"/>
      <c r="APS49" s="952"/>
      <c r="APT49" s="952"/>
      <c r="APU49" s="952"/>
      <c r="APV49" s="952"/>
      <c r="APW49" s="952"/>
      <c r="APX49" s="952"/>
      <c r="APY49" s="952"/>
      <c r="APZ49" s="952"/>
      <c r="AQA49" s="952"/>
      <c r="AQB49" s="952"/>
      <c r="AQC49" s="952"/>
      <c r="AQD49" s="952"/>
      <c r="AQE49" s="952"/>
      <c r="AQF49" s="952"/>
      <c r="AQG49" s="952"/>
      <c r="AQH49" s="952"/>
      <c r="AQI49" s="952"/>
      <c r="AQJ49" s="952"/>
      <c r="AQK49" s="952"/>
      <c r="AQL49" s="952"/>
      <c r="AQM49" s="952"/>
      <c r="AQN49" s="952"/>
      <c r="AQO49" s="952"/>
      <c r="AQP49" s="952"/>
      <c r="AQQ49" s="952"/>
      <c r="AQR49" s="952"/>
      <c r="AQS49" s="952"/>
      <c r="AQT49" s="952"/>
      <c r="AQU49" s="952"/>
      <c r="AQV49" s="952"/>
      <c r="AQW49" s="952"/>
      <c r="AQX49" s="952"/>
      <c r="AQY49" s="952"/>
      <c r="AQZ49" s="952"/>
      <c r="ARA49" s="952"/>
      <c r="ARB49" s="952"/>
      <c r="ARC49" s="952"/>
      <c r="ARD49" s="952"/>
      <c r="ARE49" s="952"/>
      <c r="ARF49" s="952"/>
      <c r="ARG49" s="952"/>
      <c r="ARH49" s="952"/>
      <c r="ARI49" s="952"/>
      <c r="ARJ49" s="952"/>
      <c r="ARK49" s="952"/>
      <c r="ARL49" s="952"/>
      <c r="ARM49" s="952"/>
      <c r="ARN49" s="952"/>
      <c r="ARO49" s="952"/>
      <c r="ARP49" s="952"/>
      <c r="ARQ49" s="952"/>
      <c r="ARR49" s="952"/>
      <c r="ARS49" s="952"/>
      <c r="ART49" s="952"/>
      <c r="ARU49" s="952"/>
      <c r="ARV49" s="952"/>
      <c r="ARW49" s="952"/>
      <c r="ARX49" s="952"/>
      <c r="ARY49" s="952"/>
      <c r="ARZ49" s="952"/>
      <c r="ASA49" s="952"/>
      <c r="ASB49" s="952"/>
      <c r="ASC49" s="952"/>
      <c r="ASD49" s="952"/>
      <c r="ASE49" s="952"/>
      <c r="ASF49" s="952"/>
      <c r="ASG49" s="952"/>
      <c r="ASH49" s="952"/>
      <c r="ASI49" s="952"/>
      <c r="ASJ49" s="952"/>
      <c r="ASK49" s="952"/>
      <c r="ASL49" s="952"/>
      <c r="ASM49" s="952"/>
      <c r="ASN49" s="952"/>
      <c r="ASO49" s="952"/>
      <c r="ASP49" s="952"/>
      <c r="ASQ49" s="952"/>
      <c r="ASR49" s="952"/>
      <c r="ASS49" s="952"/>
      <c r="AST49" s="952"/>
      <c r="ASU49" s="952"/>
      <c r="ASV49" s="952"/>
      <c r="ASW49" s="952"/>
      <c r="ASX49" s="952"/>
      <c r="ASY49" s="952"/>
      <c r="ASZ49" s="952"/>
      <c r="ATA49" s="952"/>
      <c r="ATB49" s="952"/>
      <c r="ATC49" s="952"/>
      <c r="ATD49" s="952"/>
      <c r="ATE49" s="952"/>
      <c r="ATF49" s="952"/>
      <c r="ATG49" s="952"/>
      <c r="ATH49" s="952"/>
      <c r="ATI49" s="952"/>
      <c r="ATJ49" s="952"/>
      <c r="ATK49" s="952"/>
      <c r="ATL49" s="952"/>
      <c r="ATM49" s="952"/>
      <c r="ATN49" s="952"/>
      <c r="ATO49" s="952"/>
      <c r="ATP49" s="952"/>
      <c r="ATQ49" s="952"/>
      <c r="ATR49" s="952"/>
      <c r="ATS49" s="952"/>
      <c r="ATT49" s="952"/>
      <c r="ATU49" s="952"/>
      <c r="ATV49" s="952"/>
      <c r="ATW49" s="952"/>
      <c r="ATX49" s="952"/>
      <c r="ATY49" s="952"/>
      <c r="ATZ49" s="952"/>
      <c r="AUA49" s="952"/>
      <c r="AUB49" s="952"/>
      <c r="AUC49" s="952"/>
      <c r="AUD49" s="952"/>
      <c r="AUE49" s="952"/>
      <c r="AUF49" s="952"/>
      <c r="AUG49" s="952"/>
      <c r="AUH49" s="952"/>
      <c r="AUI49" s="952"/>
      <c r="AUJ49" s="952"/>
      <c r="AUK49" s="952"/>
      <c r="AUL49" s="952"/>
      <c r="AUM49" s="952"/>
      <c r="AUN49" s="952"/>
      <c r="AUO49" s="952"/>
      <c r="AUP49" s="952"/>
      <c r="AUQ49" s="952"/>
      <c r="AUR49" s="952"/>
      <c r="AUS49" s="952"/>
      <c r="AUT49" s="952"/>
      <c r="AUU49" s="952"/>
      <c r="AUV49" s="952"/>
      <c r="AUW49" s="952"/>
      <c r="AUX49" s="952"/>
      <c r="AUY49" s="952"/>
      <c r="AUZ49" s="952"/>
      <c r="AVA49" s="952"/>
      <c r="AVB49" s="952"/>
      <c r="AVC49" s="952"/>
      <c r="AVD49" s="952"/>
      <c r="AVE49" s="952"/>
      <c r="AVF49" s="952"/>
      <c r="AVG49" s="952"/>
      <c r="AVH49" s="952"/>
      <c r="AVI49" s="952"/>
      <c r="AVJ49" s="952"/>
      <c r="AVK49" s="952"/>
      <c r="AVL49" s="952"/>
      <c r="AVM49" s="952"/>
      <c r="AVN49" s="952"/>
      <c r="AVO49" s="952"/>
      <c r="AVP49" s="952"/>
      <c r="AVQ49" s="952"/>
      <c r="AVR49" s="952"/>
      <c r="AVS49" s="952"/>
      <c r="AVT49" s="952"/>
      <c r="AVU49" s="952"/>
      <c r="AVV49" s="952"/>
      <c r="AVW49" s="952"/>
      <c r="AVX49" s="952"/>
      <c r="AVY49" s="952"/>
      <c r="AVZ49" s="952"/>
      <c r="AWA49" s="952"/>
      <c r="AWB49" s="952"/>
      <c r="AWC49" s="952"/>
      <c r="AWD49" s="952"/>
      <c r="AWE49" s="952"/>
      <c r="AWF49" s="952"/>
      <c r="AWG49" s="952"/>
      <c r="AWH49" s="952"/>
      <c r="AWI49" s="952"/>
      <c r="AWJ49" s="952"/>
      <c r="AWK49" s="952"/>
      <c r="AWL49" s="952"/>
      <c r="AWM49" s="952"/>
      <c r="AWN49" s="952"/>
      <c r="AWO49" s="952"/>
      <c r="AWP49" s="952"/>
      <c r="AWQ49" s="952"/>
      <c r="AWR49" s="952"/>
      <c r="AWS49" s="952"/>
      <c r="AWT49" s="952"/>
      <c r="AWU49" s="952"/>
      <c r="AWV49" s="952"/>
      <c r="AWW49" s="952"/>
      <c r="AWX49" s="952"/>
      <c r="AWY49" s="952"/>
      <c r="AWZ49" s="952"/>
      <c r="AXA49" s="952"/>
      <c r="AXB49" s="952"/>
      <c r="AXC49" s="952"/>
      <c r="AXD49" s="952"/>
      <c r="AXE49" s="952"/>
      <c r="AXF49" s="952"/>
      <c r="AXG49" s="952"/>
      <c r="AXH49" s="952"/>
      <c r="AXI49" s="952"/>
      <c r="AXJ49" s="952"/>
      <c r="AXK49" s="952"/>
      <c r="AXL49" s="952"/>
      <c r="AXM49" s="952"/>
      <c r="AXN49" s="952"/>
      <c r="AXO49" s="952"/>
      <c r="AXP49" s="952"/>
      <c r="AXQ49" s="952"/>
      <c r="AXR49" s="952"/>
      <c r="AXS49" s="952"/>
      <c r="AXT49" s="952"/>
      <c r="AXU49" s="952"/>
      <c r="AXV49" s="952"/>
      <c r="AXW49" s="952"/>
      <c r="AXX49" s="952"/>
      <c r="AXY49" s="952"/>
      <c r="AXZ49" s="952"/>
      <c r="AYA49" s="952"/>
      <c r="AYB49" s="952"/>
      <c r="AYC49" s="952"/>
      <c r="AYD49" s="952"/>
      <c r="AYE49" s="952"/>
      <c r="AYF49" s="952"/>
      <c r="AYG49" s="952"/>
      <c r="AYH49" s="952"/>
      <c r="AYI49" s="952"/>
      <c r="AYJ49" s="952"/>
      <c r="AYK49" s="952"/>
      <c r="AYL49" s="952"/>
      <c r="AYM49" s="952"/>
      <c r="AYN49" s="952"/>
      <c r="AYO49" s="952"/>
      <c r="AYP49" s="952"/>
      <c r="AYQ49" s="952"/>
      <c r="AYR49" s="952"/>
      <c r="AYS49" s="952"/>
      <c r="AYT49" s="952"/>
      <c r="AYU49" s="952"/>
      <c r="AYV49" s="952"/>
      <c r="AYW49" s="952"/>
      <c r="AYX49" s="952"/>
      <c r="AYY49" s="952"/>
      <c r="AYZ49" s="952"/>
      <c r="AZA49" s="952"/>
      <c r="AZB49" s="952"/>
      <c r="AZC49" s="952"/>
      <c r="AZD49" s="952"/>
      <c r="AZE49" s="952"/>
      <c r="AZF49" s="952"/>
      <c r="AZG49" s="952"/>
      <c r="AZH49" s="952"/>
      <c r="AZI49" s="952"/>
      <c r="AZJ49" s="952"/>
      <c r="AZK49" s="952"/>
      <c r="AZL49" s="952"/>
      <c r="AZM49" s="952"/>
      <c r="AZN49" s="952"/>
      <c r="AZO49" s="952"/>
      <c r="AZP49" s="952"/>
      <c r="AZQ49" s="952"/>
      <c r="AZR49" s="952"/>
      <c r="AZS49" s="952"/>
      <c r="AZT49" s="952"/>
      <c r="AZU49" s="952"/>
      <c r="AZV49" s="952"/>
      <c r="AZW49" s="952"/>
      <c r="AZX49" s="952"/>
      <c r="AZY49" s="952"/>
      <c r="AZZ49" s="952"/>
      <c r="BAA49" s="952"/>
      <c r="BAB49" s="952"/>
      <c r="BAC49" s="952"/>
      <c r="BAD49" s="952"/>
      <c r="BAE49" s="952"/>
      <c r="BAF49" s="952"/>
      <c r="BAG49" s="952"/>
      <c r="BAH49" s="952"/>
      <c r="BAI49" s="952"/>
      <c r="BAJ49" s="952"/>
      <c r="BAK49" s="952"/>
      <c r="BAL49" s="952"/>
      <c r="BAM49" s="952"/>
      <c r="BAN49" s="952"/>
      <c r="BAO49" s="952"/>
      <c r="BAP49" s="952"/>
      <c r="BAQ49" s="952"/>
      <c r="BAR49" s="952"/>
      <c r="BAS49" s="952"/>
      <c r="BAT49" s="952"/>
      <c r="BAU49" s="952"/>
      <c r="BAV49" s="952"/>
      <c r="BAW49" s="952"/>
      <c r="BAX49" s="952"/>
      <c r="BAY49" s="952"/>
      <c r="BAZ49" s="952"/>
      <c r="BBA49" s="952"/>
      <c r="BBB49" s="952"/>
      <c r="BBC49" s="952"/>
      <c r="BBD49" s="952"/>
      <c r="BBE49" s="952"/>
      <c r="BBF49" s="952"/>
      <c r="BBG49" s="952"/>
      <c r="BBH49" s="952"/>
      <c r="BBI49" s="952"/>
      <c r="BBJ49" s="952"/>
      <c r="BBK49" s="952"/>
      <c r="BBL49" s="952"/>
      <c r="BBM49" s="952"/>
      <c r="BBN49" s="952"/>
      <c r="BBO49" s="952"/>
      <c r="BBP49" s="952"/>
      <c r="BBQ49" s="952"/>
      <c r="BBR49" s="952"/>
      <c r="BBS49" s="952"/>
      <c r="BBT49" s="952"/>
      <c r="BBU49" s="952"/>
      <c r="BBV49" s="952"/>
      <c r="BBW49" s="952"/>
      <c r="BBX49" s="952"/>
      <c r="BBY49" s="952"/>
      <c r="BBZ49" s="952"/>
      <c r="BCA49" s="952"/>
      <c r="BCB49" s="952"/>
      <c r="BCC49" s="952"/>
      <c r="BCD49" s="952"/>
      <c r="BCE49" s="952"/>
      <c r="BCF49" s="952"/>
      <c r="BCG49" s="952"/>
      <c r="BCH49" s="952"/>
      <c r="BCI49" s="952"/>
      <c r="BCJ49" s="952"/>
      <c r="BCK49" s="952"/>
      <c r="BCL49" s="952"/>
      <c r="BCM49" s="952"/>
      <c r="BCN49" s="952"/>
      <c r="BCO49" s="952"/>
      <c r="BCP49" s="952"/>
      <c r="BCQ49" s="952"/>
      <c r="BCR49" s="952"/>
      <c r="BCS49" s="952"/>
      <c r="BCT49" s="952"/>
      <c r="BCU49" s="952"/>
      <c r="BCV49" s="952"/>
      <c r="BCW49" s="952"/>
      <c r="BCX49" s="952"/>
      <c r="BCY49" s="952"/>
      <c r="BCZ49" s="952"/>
      <c r="BDA49" s="952"/>
      <c r="BDB49" s="952"/>
      <c r="BDC49" s="952"/>
      <c r="BDD49" s="952"/>
      <c r="BDE49" s="952"/>
      <c r="BDF49" s="952"/>
      <c r="BDG49" s="952"/>
      <c r="BDH49" s="952"/>
      <c r="BDI49" s="952"/>
      <c r="BDJ49" s="952"/>
      <c r="BDK49" s="952"/>
      <c r="BDL49" s="952"/>
      <c r="BDM49" s="952"/>
      <c r="BDN49" s="952"/>
      <c r="BDO49" s="952"/>
      <c r="BDP49" s="952"/>
      <c r="BDQ49" s="952"/>
      <c r="BDR49" s="952"/>
      <c r="BDS49" s="952"/>
      <c r="BDT49" s="952"/>
      <c r="BDU49" s="952"/>
      <c r="BDV49" s="952"/>
      <c r="BDW49" s="952"/>
      <c r="BDX49" s="952"/>
      <c r="BDY49" s="952"/>
      <c r="BDZ49" s="952"/>
      <c r="BEA49" s="952"/>
      <c r="BEB49" s="952"/>
      <c r="BEC49" s="952"/>
      <c r="BED49" s="952"/>
      <c r="BEE49" s="952"/>
      <c r="BEF49" s="952"/>
      <c r="BEG49" s="952"/>
      <c r="BEH49" s="952"/>
      <c r="BEI49" s="952"/>
      <c r="BEJ49" s="952"/>
      <c r="BEK49" s="952"/>
      <c r="BEL49" s="952"/>
      <c r="BEM49" s="952"/>
      <c r="BEN49" s="952"/>
      <c r="BEO49" s="952"/>
      <c r="BEP49" s="952"/>
      <c r="BEQ49" s="952"/>
      <c r="BER49" s="952"/>
      <c r="BES49" s="952"/>
      <c r="BET49" s="952"/>
      <c r="BEU49" s="952"/>
      <c r="BEV49" s="952"/>
      <c r="BEW49" s="952"/>
      <c r="BEX49" s="952"/>
      <c r="BEY49" s="952"/>
      <c r="BEZ49" s="952"/>
      <c r="BFA49" s="952"/>
      <c r="BFB49" s="952"/>
      <c r="BFC49" s="952"/>
      <c r="BFD49" s="952"/>
      <c r="BFE49" s="952"/>
      <c r="BFF49" s="952"/>
      <c r="BFG49" s="952"/>
      <c r="BFH49" s="952"/>
      <c r="BFI49" s="952"/>
      <c r="BFJ49" s="952"/>
      <c r="BFK49" s="952"/>
      <c r="BFL49" s="952"/>
      <c r="BFM49" s="952"/>
      <c r="BFN49" s="952"/>
      <c r="BFO49" s="952"/>
      <c r="BFP49" s="952"/>
      <c r="BFQ49" s="952"/>
      <c r="BFR49" s="952"/>
      <c r="BFS49" s="952"/>
      <c r="BFT49" s="952"/>
      <c r="BFU49" s="952"/>
      <c r="BFV49" s="952"/>
      <c r="BFW49" s="952"/>
      <c r="BFX49" s="952"/>
      <c r="BFY49" s="952"/>
      <c r="BFZ49" s="952"/>
      <c r="BGA49" s="952"/>
      <c r="BGB49" s="952"/>
      <c r="BGC49" s="952"/>
      <c r="BGD49" s="952"/>
      <c r="BGE49" s="952"/>
      <c r="BGF49" s="952"/>
      <c r="BGG49" s="952"/>
      <c r="BGH49" s="952"/>
      <c r="BGI49" s="952"/>
      <c r="BGJ49" s="952"/>
      <c r="BGK49" s="952"/>
      <c r="BGL49" s="952"/>
      <c r="BGM49" s="952"/>
      <c r="BGN49" s="952"/>
      <c r="BGO49" s="952"/>
      <c r="BGP49" s="952"/>
      <c r="BGQ49" s="952"/>
      <c r="BGR49" s="952"/>
      <c r="BGS49" s="952"/>
      <c r="BGT49" s="952"/>
      <c r="BGU49" s="952"/>
      <c r="BGV49" s="952"/>
      <c r="BGW49" s="952"/>
      <c r="BGX49" s="952"/>
      <c r="BGY49" s="952"/>
      <c r="BGZ49" s="952"/>
      <c r="BHA49" s="952"/>
      <c r="BHB49" s="952"/>
      <c r="BHC49" s="952"/>
      <c r="BHD49" s="952"/>
      <c r="BHE49" s="952"/>
      <c r="BHF49" s="952"/>
      <c r="BHG49" s="952"/>
      <c r="BHH49" s="952"/>
      <c r="BHI49" s="952"/>
      <c r="BHJ49" s="952"/>
      <c r="BHK49" s="952"/>
      <c r="BHL49" s="952"/>
      <c r="BHM49" s="952"/>
      <c r="BHN49" s="952"/>
      <c r="BHO49" s="952"/>
      <c r="BHP49" s="952"/>
      <c r="BHQ49" s="952"/>
      <c r="BHR49" s="952"/>
      <c r="BHS49" s="952"/>
      <c r="BHT49" s="952"/>
      <c r="BHU49" s="952"/>
      <c r="BHV49" s="952"/>
      <c r="BHW49" s="952"/>
      <c r="BHX49" s="952"/>
      <c r="BHY49" s="952"/>
      <c r="BHZ49" s="952"/>
      <c r="BIA49" s="952"/>
      <c r="BIB49" s="952"/>
      <c r="BIC49" s="952"/>
      <c r="BID49" s="952"/>
      <c r="BIE49" s="952"/>
      <c r="BIF49" s="952"/>
      <c r="BIG49" s="952"/>
      <c r="BIH49" s="952"/>
      <c r="BII49" s="952"/>
      <c r="BIJ49" s="952"/>
      <c r="BIK49" s="952"/>
      <c r="BIL49" s="952"/>
      <c r="BIM49" s="952"/>
      <c r="BIN49" s="952"/>
      <c r="BIO49" s="952"/>
      <c r="BIP49" s="952"/>
      <c r="BIQ49" s="952"/>
      <c r="BIR49" s="952"/>
      <c r="BIS49" s="952"/>
      <c r="BIT49" s="952"/>
      <c r="BIU49" s="952"/>
      <c r="BIV49" s="952"/>
      <c r="BIW49" s="952"/>
      <c r="BIX49" s="952"/>
      <c r="BIY49" s="952"/>
      <c r="BIZ49" s="952"/>
      <c r="BJA49" s="952"/>
      <c r="BJB49" s="952"/>
      <c r="BJC49" s="952"/>
      <c r="BJD49" s="952"/>
      <c r="BJE49" s="952"/>
      <c r="BJF49" s="952"/>
      <c r="BJG49" s="952"/>
      <c r="BJH49" s="952"/>
      <c r="BJI49" s="952"/>
      <c r="BJJ49" s="952"/>
      <c r="BJK49" s="952"/>
      <c r="BJL49" s="952"/>
      <c r="BJM49" s="952"/>
      <c r="BJN49" s="952"/>
      <c r="BJO49" s="952"/>
      <c r="BJP49" s="952"/>
      <c r="BJQ49" s="952"/>
      <c r="BJR49" s="952"/>
      <c r="BJS49" s="952"/>
      <c r="BJT49" s="952"/>
      <c r="BJU49" s="952"/>
      <c r="BJV49" s="952"/>
      <c r="BJW49" s="952"/>
      <c r="BJX49" s="952"/>
      <c r="BJY49" s="952"/>
      <c r="BJZ49" s="952"/>
      <c r="BKA49" s="952"/>
      <c r="BKB49" s="952"/>
      <c r="BKC49" s="952"/>
      <c r="BKD49" s="952"/>
      <c r="BKE49" s="952"/>
      <c r="BKF49" s="952"/>
      <c r="BKG49" s="952"/>
      <c r="BKH49" s="952"/>
      <c r="BKI49" s="952"/>
      <c r="BKJ49" s="952"/>
      <c r="BKK49" s="952"/>
      <c r="BKL49" s="952"/>
      <c r="BKM49" s="952"/>
      <c r="BKN49" s="952"/>
      <c r="BKO49" s="952"/>
      <c r="BKP49" s="952"/>
      <c r="BKQ49" s="952"/>
      <c r="BKR49" s="952"/>
      <c r="BKS49" s="952"/>
      <c r="BKT49" s="952"/>
      <c r="BKU49" s="952"/>
      <c r="BKV49" s="952"/>
      <c r="BKW49" s="952"/>
      <c r="BKX49" s="952"/>
      <c r="BKY49" s="952"/>
      <c r="BKZ49" s="952"/>
      <c r="BLA49" s="952"/>
      <c r="BLB49" s="952"/>
      <c r="BLC49" s="952"/>
      <c r="BLD49" s="952"/>
      <c r="BLE49" s="952"/>
      <c r="BLF49" s="952"/>
      <c r="BLG49" s="952"/>
      <c r="BLH49" s="952"/>
      <c r="BLI49" s="952"/>
      <c r="BLJ49" s="952"/>
      <c r="BLK49" s="952"/>
      <c r="BLL49" s="952"/>
      <c r="BLM49" s="952"/>
      <c r="BLN49" s="952"/>
      <c r="BLO49" s="952"/>
      <c r="BLP49" s="952"/>
      <c r="BLQ49" s="952"/>
      <c r="BLR49" s="952"/>
      <c r="BLS49" s="952"/>
      <c r="BLT49" s="952"/>
      <c r="BLU49" s="952"/>
      <c r="BLV49" s="952"/>
      <c r="BLW49" s="952"/>
      <c r="BLX49" s="952"/>
      <c r="BLY49" s="952"/>
      <c r="BLZ49" s="952"/>
      <c r="BMA49" s="952"/>
      <c r="BMB49" s="952"/>
      <c r="BMC49" s="952"/>
      <c r="BMD49" s="952"/>
      <c r="BME49" s="952"/>
      <c r="BMF49" s="952"/>
      <c r="BMG49" s="952"/>
      <c r="BMH49" s="952"/>
      <c r="BMI49" s="952"/>
      <c r="BMJ49" s="952"/>
      <c r="BMK49" s="952"/>
      <c r="BML49" s="952"/>
      <c r="BMM49" s="952"/>
      <c r="BMN49" s="952"/>
      <c r="BMO49" s="952"/>
      <c r="BMP49" s="952"/>
      <c r="BMQ49" s="952"/>
      <c r="BMR49" s="952"/>
      <c r="BMS49" s="952"/>
      <c r="BMT49" s="952"/>
      <c r="BMU49" s="952"/>
      <c r="BMV49" s="952"/>
      <c r="BMW49" s="952"/>
      <c r="BMX49" s="952"/>
      <c r="BMY49" s="952"/>
      <c r="BMZ49" s="952"/>
      <c r="BNA49" s="952"/>
      <c r="BNB49" s="952"/>
      <c r="BNC49" s="952"/>
      <c r="BND49" s="952"/>
      <c r="BNE49" s="952"/>
      <c r="BNF49" s="952"/>
      <c r="BNG49" s="952"/>
      <c r="BNH49" s="952"/>
      <c r="BNI49" s="952"/>
      <c r="BNJ49" s="952"/>
      <c r="BNK49" s="952"/>
      <c r="BNL49" s="952"/>
      <c r="BNM49" s="952"/>
      <c r="BNN49" s="952"/>
      <c r="BNO49" s="952"/>
      <c r="BNP49" s="952"/>
      <c r="BNQ49" s="952"/>
      <c r="BNR49" s="952"/>
      <c r="BNS49" s="952"/>
      <c r="BNT49" s="952"/>
      <c r="BNU49" s="952"/>
      <c r="BNV49" s="952"/>
      <c r="BNW49" s="952"/>
      <c r="BNX49" s="952"/>
      <c r="BNY49" s="952"/>
      <c r="BNZ49" s="952"/>
      <c r="BOA49" s="952"/>
      <c r="BOB49" s="952"/>
      <c r="BOC49" s="952"/>
      <c r="BOD49" s="952"/>
      <c r="BOE49" s="952"/>
      <c r="BOF49" s="952"/>
      <c r="BOG49" s="952"/>
      <c r="BOH49" s="952"/>
      <c r="BOI49" s="952"/>
      <c r="BOJ49" s="952"/>
      <c r="BOK49" s="952"/>
      <c r="BOL49" s="952"/>
      <c r="BOM49" s="952"/>
      <c r="BON49" s="952"/>
      <c r="BOO49" s="952"/>
      <c r="BOP49" s="952"/>
      <c r="BOQ49" s="952"/>
      <c r="BOR49" s="952"/>
      <c r="BOS49" s="952"/>
      <c r="BOT49" s="952"/>
      <c r="BOU49" s="952"/>
      <c r="BOV49" s="952"/>
      <c r="BOW49" s="952"/>
      <c r="BOX49" s="952"/>
      <c r="BOY49" s="952"/>
      <c r="BOZ49" s="952"/>
      <c r="BPA49" s="952"/>
      <c r="BPB49" s="952"/>
      <c r="BPC49" s="952"/>
      <c r="BPD49" s="952"/>
      <c r="BPE49" s="952"/>
      <c r="BPF49" s="952"/>
      <c r="BPG49" s="952"/>
      <c r="BPH49" s="952"/>
      <c r="BPI49" s="952"/>
      <c r="BPJ49" s="952"/>
      <c r="BPK49" s="952"/>
      <c r="BPL49" s="952"/>
      <c r="BPM49" s="952"/>
      <c r="BPN49" s="952"/>
      <c r="BPO49" s="952"/>
      <c r="BPP49" s="952"/>
      <c r="BPQ49" s="952"/>
      <c r="BPR49" s="952"/>
      <c r="BPS49" s="952"/>
      <c r="BPT49" s="952"/>
      <c r="BPU49" s="952"/>
      <c r="BPV49" s="952"/>
      <c r="BPW49" s="952"/>
      <c r="BPX49" s="952"/>
      <c r="BPY49" s="952"/>
      <c r="BPZ49" s="952"/>
      <c r="BQA49" s="952"/>
      <c r="BQB49" s="952"/>
      <c r="BQC49" s="952"/>
      <c r="BQD49" s="952"/>
      <c r="BQE49" s="952"/>
      <c r="BQF49" s="952"/>
      <c r="BQG49" s="952"/>
      <c r="BQH49" s="952"/>
      <c r="BQI49" s="952"/>
      <c r="BQJ49" s="952"/>
      <c r="BQK49" s="952"/>
      <c r="BQL49" s="952"/>
      <c r="BQM49" s="952"/>
      <c r="BQN49" s="952"/>
      <c r="BQO49" s="952"/>
      <c r="BQP49" s="952"/>
      <c r="BQQ49" s="952"/>
      <c r="BQR49" s="952"/>
      <c r="BQS49" s="952"/>
      <c r="BQT49" s="952"/>
      <c r="BQU49" s="952"/>
      <c r="BQV49" s="952"/>
      <c r="BQW49" s="952"/>
      <c r="BQX49" s="952"/>
      <c r="BQY49" s="952"/>
      <c r="BQZ49" s="952"/>
      <c r="BRA49" s="952"/>
      <c r="BRB49" s="952"/>
      <c r="BRC49" s="952"/>
      <c r="BRD49" s="952"/>
      <c r="BRE49" s="952"/>
      <c r="BRF49" s="952"/>
      <c r="BRG49" s="952"/>
      <c r="BRH49" s="952"/>
      <c r="BRI49" s="952"/>
      <c r="BRJ49" s="952"/>
      <c r="BRK49" s="952"/>
      <c r="BRL49" s="952"/>
      <c r="BRM49" s="952"/>
      <c r="BRN49" s="952"/>
      <c r="BRO49" s="952"/>
      <c r="BRP49" s="952"/>
      <c r="BRQ49" s="952"/>
      <c r="BRR49" s="952"/>
      <c r="BRS49" s="952"/>
      <c r="BRT49" s="952"/>
      <c r="BRU49" s="952"/>
      <c r="BRV49" s="952"/>
      <c r="BRW49" s="952"/>
      <c r="BRX49" s="952"/>
      <c r="BRY49" s="952"/>
      <c r="BRZ49" s="952"/>
      <c r="BSA49" s="952"/>
      <c r="BSB49" s="952"/>
      <c r="BSC49" s="952"/>
      <c r="BSD49" s="952"/>
      <c r="BSE49" s="952"/>
      <c r="BSF49" s="952"/>
      <c r="BSG49" s="952"/>
      <c r="BSH49" s="952"/>
      <c r="BSI49" s="952"/>
      <c r="BSJ49" s="952"/>
      <c r="BSK49" s="952"/>
      <c r="BSL49" s="952"/>
      <c r="BSM49" s="952"/>
      <c r="BSN49" s="952"/>
      <c r="BSO49" s="952"/>
      <c r="BSP49" s="952"/>
      <c r="BSQ49" s="952"/>
      <c r="BSR49" s="952"/>
      <c r="BSS49" s="952"/>
      <c r="BST49" s="952"/>
      <c r="BSU49" s="952"/>
      <c r="BSV49" s="952"/>
      <c r="BSW49" s="952"/>
      <c r="BSX49" s="952"/>
      <c r="BSY49" s="952"/>
      <c r="BSZ49" s="952"/>
      <c r="BTA49" s="952"/>
      <c r="BTB49" s="952"/>
      <c r="BTC49" s="952"/>
      <c r="BTD49" s="952"/>
      <c r="BTE49" s="952"/>
      <c r="BTF49" s="952"/>
      <c r="BTG49" s="952"/>
      <c r="BTH49" s="952"/>
      <c r="BTI49" s="952"/>
      <c r="BTJ49" s="952"/>
      <c r="BTK49" s="952"/>
      <c r="BTL49" s="952"/>
      <c r="BTM49" s="952"/>
      <c r="BTN49" s="952"/>
      <c r="BTO49" s="952"/>
      <c r="BTP49" s="952"/>
      <c r="BTQ49" s="952"/>
      <c r="BTR49" s="952"/>
      <c r="BTS49" s="952"/>
      <c r="BTT49" s="952"/>
      <c r="BTU49" s="952"/>
      <c r="BTV49" s="952"/>
      <c r="BTW49" s="952"/>
      <c r="BTX49" s="952"/>
      <c r="BTY49" s="952"/>
      <c r="BTZ49" s="952"/>
      <c r="BUA49" s="952"/>
      <c r="BUB49" s="952"/>
      <c r="BUC49" s="952"/>
      <c r="BUD49" s="952"/>
      <c r="BUE49" s="952"/>
      <c r="BUF49" s="952"/>
      <c r="BUG49" s="952"/>
      <c r="BUH49" s="952"/>
      <c r="BUI49" s="952"/>
      <c r="BUJ49" s="952"/>
      <c r="BUK49" s="952"/>
      <c r="BUL49" s="952"/>
      <c r="BUM49" s="952"/>
      <c r="BUN49" s="952"/>
      <c r="BUO49" s="952"/>
      <c r="BUP49" s="952"/>
      <c r="BUQ49" s="952"/>
      <c r="BUR49" s="952"/>
      <c r="BUS49" s="952"/>
      <c r="BUT49" s="952"/>
      <c r="BUU49" s="952"/>
      <c r="BUV49" s="952"/>
      <c r="BUW49" s="952"/>
      <c r="BUX49" s="952"/>
      <c r="BUY49" s="952"/>
      <c r="BUZ49" s="952"/>
      <c r="BVA49" s="952"/>
      <c r="BVB49" s="952"/>
      <c r="BVC49" s="952"/>
      <c r="BVD49" s="952"/>
      <c r="BVE49" s="952"/>
      <c r="BVF49" s="952"/>
      <c r="BVG49" s="952"/>
      <c r="BVH49" s="952"/>
      <c r="BVI49" s="952"/>
      <c r="BVJ49" s="952"/>
      <c r="BVK49" s="952"/>
      <c r="BVL49" s="952"/>
      <c r="BVM49" s="952"/>
      <c r="BVN49" s="952"/>
      <c r="BVO49" s="952"/>
      <c r="BVP49" s="952"/>
      <c r="BVQ49" s="952"/>
      <c r="BVR49" s="952"/>
      <c r="BVS49" s="952"/>
      <c r="BVT49" s="952"/>
      <c r="BVU49" s="952"/>
      <c r="BVV49" s="952"/>
      <c r="BVW49" s="952"/>
      <c r="BVX49" s="952"/>
      <c r="BVY49" s="952"/>
      <c r="BVZ49" s="952"/>
      <c r="BWA49" s="952"/>
      <c r="BWB49" s="952"/>
      <c r="BWC49" s="952"/>
      <c r="BWD49" s="952"/>
      <c r="BWE49" s="952"/>
      <c r="BWF49" s="952"/>
      <c r="BWG49" s="952"/>
      <c r="BWH49" s="952"/>
      <c r="BWI49" s="952"/>
      <c r="BWJ49" s="952"/>
      <c r="BWK49" s="952"/>
      <c r="BWL49" s="952"/>
      <c r="BWM49" s="952"/>
      <c r="BWN49" s="952"/>
      <c r="BWO49" s="952"/>
      <c r="BWP49" s="952"/>
      <c r="BWQ49" s="952"/>
      <c r="BWR49" s="952"/>
      <c r="BWS49" s="952"/>
      <c r="BWT49" s="952"/>
      <c r="BWU49" s="952"/>
      <c r="BWV49" s="952"/>
      <c r="BWW49" s="952"/>
      <c r="BWX49" s="952"/>
      <c r="BWY49" s="952"/>
      <c r="BWZ49" s="952"/>
      <c r="BXA49" s="952"/>
      <c r="BXB49" s="952"/>
      <c r="BXC49" s="952"/>
      <c r="BXD49" s="952"/>
      <c r="BXE49" s="952"/>
      <c r="BXF49" s="952"/>
      <c r="BXG49" s="952"/>
      <c r="BXH49" s="952"/>
      <c r="BXI49" s="952"/>
      <c r="BXJ49" s="952"/>
      <c r="BXK49" s="952"/>
      <c r="BXL49" s="952"/>
      <c r="BXM49" s="952"/>
      <c r="BXN49" s="952"/>
      <c r="BXO49" s="952"/>
      <c r="BXP49" s="952"/>
      <c r="BXQ49" s="952"/>
      <c r="BXR49" s="952"/>
      <c r="BXS49" s="952"/>
      <c r="BXT49" s="952"/>
      <c r="BXU49" s="952"/>
      <c r="BXV49" s="952"/>
      <c r="BXW49" s="952"/>
      <c r="BXX49" s="952"/>
      <c r="BXY49" s="952"/>
      <c r="BXZ49" s="952"/>
      <c r="BYA49" s="952"/>
      <c r="BYB49" s="952"/>
      <c r="BYC49" s="952"/>
      <c r="BYD49" s="952"/>
      <c r="BYE49" s="952"/>
      <c r="BYF49" s="952"/>
      <c r="BYG49" s="952"/>
      <c r="BYH49" s="952"/>
      <c r="BYI49" s="952"/>
      <c r="BYJ49" s="952"/>
      <c r="BYK49" s="952"/>
      <c r="BYL49" s="952"/>
      <c r="BYM49" s="952"/>
      <c r="BYN49" s="952"/>
      <c r="BYO49" s="952"/>
      <c r="BYP49" s="952"/>
      <c r="BYQ49" s="952"/>
      <c r="BYR49" s="952"/>
      <c r="BYS49" s="952"/>
      <c r="BYT49" s="952"/>
      <c r="BYU49" s="952"/>
      <c r="BYV49" s="952"/>
      <c r="BYW49" s="952"/>
      <c r="BYX49" s="952"/>
      <c r="BYY49" s="952"/>
      <c r="BYZ49" s="952"/>
      <c r="BZA49" s="952"/>
      <c r="BZB49" s="952"/>
      <c r="BZC49" s="952"/>
      <c r="BZD49" s="952"/>
      <c r="BZE49" s="952"/>
      <c r="BZF49" s="952"/>
      <c r="BZG49" s="952"/>
      <c r="BZH49" s="952"/>
      <c r="BZI49" s="952"/>
      <c r="BZJ49" s="952"/>
      <c r="BZK49" s="952"/>
      <c r="BZL49" s="952"/>
      <c r="BZM49" s="952"/>
      <c r="BZN49" s="952"/>
      <c r="BZO49" s="952"/>
      <c r="BZP49" s="952"/>
      <c r="BZQ49" s="952"/>
      <c r="BZR49" s="952"/>
      <c r="BZS49" s="952"/>
      <c r="BZT49" s="952"/>
      <c r="BZU49" s="952"/>
      <c r="BZV49" s="952"/>
      <c r="BZW49" s="952"/>
      <c r="BZX49" s="952"/>
      <c r="BZY49" s="952"/>
      <c r="BZZ49" s="952"/>
      <c r="CAA49" s="952"/>
      <c r="CAB49" s="952"/>
      <c r="CAC49" s="952"/>
      <c r="CAD49" s="952"/>
      <c r="CAE49" s="952"/>
      <c r="CAF49" s="952"/>
      <c r="CAG49" s="952"/>
      <c r="CAH49" s="952"/>
      <c r="CAI49" s="952"/>
      <c r="CAJ49" s="952"/>
      <c r="CAK49" s="952"/>
      <c r="CAL49" s="952"/>
      <c r="CAM49" s="952"/>
      <c r="CAN49" s="952"/>
      <c r="CAO49" s="952"/>
      <c r="CAP49" s="952"/>
      <c r="CAQ49" s="952"/>
      <c r="CAR49" s="952"/>
      <c r="CAS49" s="952"/>
      <c r="CAT49" s="952"/>
      <c r="CAU49" s="952"/>
      <c r="CAV49" s="952"/>
      <c r="CAW49" s="952"/>
      <c r="CAX49" s="952"/>
      <c r="CAY49" s="952"/>
      <c r="CAZ49" s="952"/>
      <c r="CBA49" s="952"/>
      <c r="CBB49" s="952"/>
      <c r="CBC49" s="952"/>
      <c r="CBD49" s="952"/>
      <c r="CBE49" s="952"/>
      <c r="CBF49" s="952"/>
      <c r="CBG49" s="952"/>
      <c r="CBH49" s="952"/>
      <c r="CBI49" s="952"/>
      <c r="CBJ49" s="952"/>
      <c r="CBK49" s="952"/>
      <c r="CBL49" s="952"/>
      <c r="CBM49" s="952"/>
      <c r="CBN49" s="952"/>
      <c r="CBO49" s="952"/>
      <c r="CBP49" s="952"/>
      <c r="CBQ49" s="952"/>
      <c r="CBR49" s="952"/>
      <c r="CBS49" s="952"/>
      <c r="CBT49" s="952"/>
      <c r="CBU49" s="952"/>
      <c r="CBV49" s="952"/>
      <c r="CBW49" s="952"/>
      <c r="CBX49" s="952"/>
      <c r="CBY49" s="952"/>
      <c r="CBZ49" s="952"/>
      <c r="CCA49" s="952"/>
      <c r="CCB49" s="952"/>
      <c r="CCC49" s="952"/>
      <c r="CCD49" s="952"/>
      <c r="CCE49" s="952"/>
      <c r="CCF49" s="952"/>
      <c r="CCG49" s="952"/>
      <c r="CCH49" s="952"/>
      <c r="CCI49" s="952"/>
      <c r="CCJ49" s="952"/>
      <c r="CCK49" s="952"/>
      <c r="CCL49" s="952"/>
      <c r="CCM49" s="952"/>
      <c r="CCN49" s="952"/>
      <c r="CCO49" s="952"/>
      <c r="CCP49" s="952"/>
      <c r="CCQ49" s="952"/>
      <c r="CCR49" s="952"/>
      <c r="CCS49" s="952"/>
      <c r="CCT49" s="952"/>
      <c r="CCU49" s="952"/>
      <c r="CCV49" s="952"/>
      <c r="CCW49" s="952"/>
      <c r="CCX49" s="952"/>
      <c r="CCY49" s="952"/>
      <c r="CCZ49" s="952"/>
      <c r="CDA49" s="952"/>
      <c r="CDB49" s="952"/>
      <c r="CDC49" s="952"/>
      <c r="CDD49" s="952"/>
      <c r="CDE49" s="952"/>
      <c r="CDF49" s="952"/>
      <c r="CDG49" s="952"/>
      <c r="CDH49" s="952"/>
      <c r="CDI49" s="952"/>
      <c r="CDJ49" s="952"/>
      <c r="CDK49" s="952"/>
      <c r="CDL49" s="952"/>
      <c r="CDM49" s="952"/>
      <c r="CDN49" s="952"/>
      <c r="CDO49" s="952"/>
      <c r="CDP49" s="952"/>
      <c r="CDQ49" s="952"/>
      <c r="CDR49" s="952"/>
      <c r="CDS49" s="952"/>
      <c r="CDT49" s="952"/>
      <c r="CDU49" s="952"/>
      <c r="CDV49" s="952"/>
      <c r="CDW49" s="952"/>
      <c r="CDX49" s="952"/>
      <c r="CDY49" s="952"/>
      <c r="CDZ49" s="952"/>
      <c r="CEA49" s="952"/>
      <c r="CEB49" s="952"/>
      <c r="CEC49" s="952"/>
      <c r="CED49" s="952"/>
      <c r="CEE49" s="952"/>
      <c r="CEF49" s="952"/>
      <c r="CEG49" s="952"/>
      <c r="CEH49" s="952"/>
      <c r="CEI49" s="952"/>
      <c r="CEJ49" s="952"/>
      <c r="CEK49" s="952"/>
      <c r="CEL49" s="952"/>
      <c r="CEM49" s="952"/>
      <c r="CEN49" s="952"/>
      <c r="CEO49" s="952"/>
      <c r="CEP49" s="952"/>
      <c r="CEQ49" s="952"/>
      <c r="CER49" s="952"/>
      <c r="CES49" s="952"/>
      <c r="CET49" s="952"/>
      <c r="CEU49" s="952"/>
      <c r="CEV49" s="952"/>
      <c r="CEW49" s="952"/>
      <c r="CEX49" s="952"/>
      <c r="CEY49" s="952"/>
      <c r="CEZ49" s="952"/>
      <c r="CFA49" s="952"/>
      <c r="CFB49" s="952"/>
      <c r="CFC49" s="952"/>
      <c r="CFD49" s="952"/>
      <c r="CFE49" s="952"/>
      <c r="CFF49" s="952"/>
      <c r="CFG49" s="952"/>
      <c r="CFH49" s="952"/>
      <c r="CFI49" s="952"/>
      <c r="CFJ49" s="952"/>
      <c r="CFK49" s="952"/>
      <c r="CFL49" s="952"/>
      <c r="CFM49" s="952"/>
      <c r="CFN49" s="952"/>
      <c r="CFO49" s="952"/>
      <c r="CFP49" s="952"/>
      <c r="CFQ49" s="952"/>
      <c r="CFR49" s="952"/>
      <c r="CFS49" s="952"/>
      <c r="CFT49" s="952"/>
      <c r="CFU49" s="952"/>
      <c r="CFV49" s="952"/>
      <c r="CFW49" s="952"/>
      <c r="CFX49" s="952"/>
      <c r="CFY49" s="952"/>
      <c r="CFZ49" s="952"/>
      <c r="CGA49" s="952"/>
      <c r="CGB49" s="952"/>
      <c r="CGC49" s="952"/>
      <c r="CGD49" s="952"/>
      <c r="CGE49" s="952"/>
      <c r="CGF49" s="952"/>
      <c r="CGG49" s="952"/>
      <c r="CGH49" s="952"/>
      <c r="CGI49" s="952"/>
      <c r="CGJ49" s="952"/>
      <c r="CGK49" s="952"/>
      <c r="CGL49" s="952"/>
      <c r="CGM49" s="952"/>
      <c r="CGN49" s="952"/>
      <c r="CGO49" s="952"/>
      <c r="CGP49" s="952"/>
      <c r="CGQ49" s="952"/>
      <c r="CGR49" s="952"/>
      <c r="CGS49" s="952"/>
      <c r="CGT49" s="952"/>
      <c r="CGU49" s="952"/>
      <c r="CGV49" s="952"/>
      <c r="CGW49" s="952"/>
      <c r="CGX49" s="952"/>
      <c r="CGY49" s="952"/>
      <c r="CGZ49" s="952"/>
      <c r="CHA49" s="952"/>
      <c r="CHB49" s="952"/>
      <c r="CHC49" s="952"/>
      <c r="CHD49" s="952"/>
      <c r="CHE49" s="952"/>
      <c r="CHF49" s="952"/>
      <c r="CHG49" s="952"/>
      <c r="CHH49" s="952"/>
      <c r="CHI49" s="952"/>
      <c r="CHJ49" s="952"/>
      <c r="CHK49" s="952"/>
      <c r="CHL49" s="952"/>
      <c r="CHM49" s="952"/>
      <c r="CHN49" s="952"/>
      <c r="CHO49" s="952"/>
      <c r="CHP49" s="952"/>
      <c r="CHQ49" s="952"/>
      <c r="CHR49" s="952"/>
      <c r="CHS49" s="952"/>
      <c r="CHT49" s="952"/>
      <c r="CHU49" s="952"/>
      <c r="CHV49" s="952"/>
      <c r="CHW49" s="952"/>
      <c r="CHX49" s="952"/>
      <c r="CHY49" s="952"/>
      <c r="CHZ49" s="952"/>
      <c r="CIA49" s="952"/>
      <c r="CIB49" s="952"/>
      <c r="CIC49" s="952"/>
      <c r="CID49" s="952"/>
      <c r="CIE49" s="952"/>
      <c r="CIF49" s="952"/>
      <c r="CIG49" s="952"/>
      <c r="CIH49" s="952"/>
      <c r="CII49" s="952"/>
      <c r="CIJ49" s="952"/>
      <c r="CIK49" s="952"/>
      <c r="CIL49" s="952"/>
      <c r="CIM49" s="952"/>
      <c r="CIN49" s="952"/>
      <c r="CIO49" s="952"/>
      <c r="CIP49" s="952"/>
      <c r="CIQ49" s="952"/>
      <c r="CIR49" s="952"/>
      <c r="CIS49" s="952"/>
      <c r="CIT49" s="952"/>
      <c r="CIU49" s="952"/>
      <c r="CIV49" s="952"/>
      <c r="CIW49" s="952"/>
      <c r="CIX49" s="952"/>
      <c r="CIY49" s="952"/>
      <c r="CIZ49" s="952"/>
      <c r="CJA49" s="952"/>
      <c r="CJB49" s="952"/>
      <c r="CJC49" s="952"/>
      <c r="CJD49" s="952"/>
      <c r="CJE49" s="952"/>
      <c r="CJF49" s="952"/>
      <c r="CJG49" s="952"/>
      <c r="CJH49" s="952"/>
      <c r="CJI49" s="952"/>
      <c r="CJJ49" s="952"/>
      <c r="CJK49" s="952"/>
      <c r="CJL49" s="952"/>
      <c r="CJM49" s="952"/>
      <c r="CJN49" s="952"/>
      <c r="CJO49" s="952"/>
      <c r="CJP49" s="952"/>
      <c r="CJQ49" s="952"/>
      <c r="CJR49" s="952"/>
      <c r="CJS49" s="952"/>
      <c r="CJT49" s="952"/>
      <c r="CJU49" s="952"/>
      <c r="CJV49" s="952"/>
      <c r="CJW49" s="952"/>
      <c r="CJX49" s="952"/>
      <c r="CJY49" s="952"/>
      <c r="CJZ49" s="952"/>
      <c r="CKA49" s="952"/>
      <c r="CKB49" s="952"/>
      <c r="CKC49" s="952"/>
      <c r="CKD49" s="952"/>
      <c r="CKE49" s="952"/>
      <c r="CKF49" s="952"/>
      <c r="CKG49" s="952"/>
      <c r="CKH49" s="952"/>
      <c r="CKI49" s="952"/>
      <c r="CKJ49" s="952"/>
      <c r="CKK49" s="952"/>
      <c r="CKL49" s="952"/>
      <c r="CKM49" s="952"/>
      <c r="CKN49" s="952"/>
      <c r="CKO49" s="952"/>
      <c r="CKP49" s="952"/>
      <c r="CKQ49" s="952"/>
      <c r="CKR49" s="952"/>
      <c r="CKS49" s="952"/>
      <c r="CKT49" s="952"/>
      <c r="CKU49" s="952"/>
      <c r="CKV49" s="952"/>
      <c r="CKW49" s="952"/>
      <c r="CKX49" s="952"/>
      <c r="CKY49" s="952"/>
      <c r="CKZ49" s="952"/>
      <c r="CLA49" s="952"/>
      <c r="CLB49" s="952"/>
      <c r="CLC49" s="952"/>
      <c r="CLD49" s="952"/>
      <c r="CLE49" s="952"/>
      <c r="CLF49" s="952"/>
      <c r="CLG49" s="952"/>
      <c r="CLH49" s="952"/>
      <c r="CLI49" s="952"/>
      <c r="CLJ49" s="952"/>
      <c r="CLK49" s="952"/>
      <c r="CLL49" s="952"/>
      <c r="CLM49" s="952"/>
      <c r="CLN49" s="952"/>
      <c r="CLO49" s="952"/>
      <c r="CLP49" s="952"/>
      <c r="CLQ49" s="952"/>
      <c r="CLR49" s="952"/>
      <c r="CLS49" s="952"/>
      <c r="CLT49" s="952"/>
      <c r="CLU49" s="952"/>
      <c r="CLV49" s="952"/>
      <c r="CLW49" s="952"/>
      <c r="CLX49" s="952"/>
      <c r="CLY49" s="952"/>
      <c r="CLZ49" s="952"/>
      <c r="CMA49" s="952"/>
      <c r="CMB49" s="952"/>
      <c r="CMC49" s="952"/>
      <c r="CMD49" s="952"/>
      <c r="CME49" s="952"/>
      <c r="CMF49" s="952"/>
      <c r="CMG49" s="952"/>
      <c r="CMH49" s="952"/>
      <c r="CMI49" s="952"/>
      <c r="CMJ49" s="952"/>
      <c r="CMK49" s="952"/>
      <c r="CML49" s="952"/>
      <c r="CMM49" s="952"/>
      <c r="CMN49" s="952"/>
      <c r="CMO49" s="952"/>
      <c r="CMP49" s="952"/>
      <c r="CMQ49" s="952"/>
      <c r="CMR49" s="952"/>
      <c r="CMS49" s="952"/>
      <c r="CMT49" s="952"/>
      <c r="CMU49" s="952"/>
      <c r="CMV49" s="952"/>
      <c r="CMW49" s="952"/>
      <c r="CMX49" s="952"/>
      <c r="CMY49" s="952"/>
      <c r="CMZ49" s="952"/>
      <c r="CNA49" s="952"/>
      <c r="CNB49" s="952"/>
      <c r="CNC49" s="952"/>
      <c r="CND49" s="952"/>
      <c r="CNE49" s="952"/>
      <c r="CNF49" s="952"/>
      <c r="CNG49" s="952"/>
      <c r="CNH49" s="952"/>
      <c r="CNI49" s="952"/>
      <c r="CNJ49" s="952"/>
      <c r="CNK49" s="952"/>
      <c r="CNL49" s="952"/>
      <c r="CNM49" s="952"/>
      <c r="CNN49" s="952"/>
      <c r="CNO49" s="952"/>
      <c r="CNP49" s="952"/>
      <c r="CNQ49" s="952"/>
      <c r="CNR49" s="952"/>
      <c r="CNS49" s="952"/>
      <c r="CNT49" s="952"/>
      <c r="CNU49" s="952"/>
      <c r="CNV49" s="952"/>
      <c r="CNW49" s="952"/>
      <c r="CNX49" s="952"/>
      <c r="CNY49" s="952"/>
      <c r="CNZ49" s="952"/>
      <c r="COA49" s="952"/>
      <c r="COB49" s="952"/>
      <c r="COC49" s="952"/>
      <c r="COD49" s="952"/>
      <c r="COE49" s="952"/>
      <c r="COF49" s="952"/>
      <c r="COG49" s="952"/>
      <c r="COH49" s="952"/>
      <c r="COI49" s="952"/>
      <c r="COJ49" s="952"/>
      <c r="COK49" s="952"/>
      <c r="COL49" s="952"/>
      <c r="COM49" s="952"/>
      <c r="CON49" s="952"/>
      <c r="COO49" s="952"/>
      <c r="COP49" s="952"/>
      <c r="COQ49" s="952"/>
      <c r="COR49" s="952"/>
      <c r="COS49" s="952"/>
      <c r="COT49" s="952"/>
      <c r="COU49" s="952"/>
      <c r="COV49" s="952"/>
      <c r="COW49" s="952"/>
      <c r="COX49" s="952"/>
      <c r="COY49" s="952"/>
      <c r="COZ49" s="952"/>
      <c r="CPA49" s="952"/>
      <c r="CPB49" s="952"/>
      <c r="CPC49" s="952"/>
      <c r="CPD49" s="952"/>
      <c r="CPE49" s="952"/>
      <c r="CPF49" s="952"/>
      <c r="CPG49" s="952"/>
      <c r="CPH49" s="952"/>
      <c r="CPI49" s="952"/>
      <c r="CPJ49" s="952"/>
      <c r="CPK49" s="952"/>
      <c r="CPL49" s="952"/>
      <c r="CPM49" s="952"/>
      <c r="CPN49" s="952"/>
      <c r="CPO49" s="952"/>
      <c r="CPP49" s="952"/>
      <c r="CPQ49" s="952"/>
      <c r="CPR49" s="952"/>
      <c r="CPS49" s="952"/>
      <c r="CPT49" s="952"/>
      <c r="CPU49" s="952"/>
      <c r="CPV49" s="952"/>
      <c r="CPW49" s="952"/>
      <c r="CPX49" s="952"/>
      <c r="CPY49" s="952"/>
      <c r="CPZ49" s="952"/>
      <c r="CQA49" s="952"/>
      <c r="CQB49" s="952"/>
      <c r="CQC49" s="952"/>
      <c r="CQD49" s="952"/>
      <c r="CQE49" s="952"/>
      <c r="CQF49" s="952"/>
      <c r="CQG49" s="952"/>
      <c r="CQH49" s="952"/>
      <c r="CQI49" s="952"/>
      <c r="CQJ49" s="952"/>
      <c r="CQK49" s="952"/>
      <c r="CQL49" s="952"/>
      <c r="CQM49" s="952"/>
      <c r="CQN49" s="952"/>
      <c r="CQO49" s="952"/>
      <c r="CQP49" s="952"/>
      <c r="CQQ49" s="952"/>
      <c r="CQR49" s="952"/>
      <c r="CQS49" s="952"/>
      <c r="CQT49" s="952"/>
      <c r="CQU49" s="952"/>
      <c r="CQV49" s="952"/>
      <c r="CQW49" s="952"/>
      <c r="CQX49" s="952"/>
      <c r="CQY49" s="952"/>
      <c r="CQZ49" s="952"/>
      <c r="CRA49" s="952"/>
      <c r="CRB49" s="952"/>
      <c r="CRC49" s="952"/>
      <c r="CRD49" s="952"/>
      <c r="CRE49" s="952"/>
      <c r="CRF49" s="952"/>
      <c r="CRG49" s="952"/>
      <c r="CRH49" s="952"/>
      <c r="CRI49" s="952"/>
      <c r="CRJ49" s="952"/>
      <c r="CRK49" s="952"/>
      <c r="CRL49" s="952"/>
      <c r="CRM49" s="952"/>
      <c r="CRN49" s="952"/>
      <c r="CRO49" s="952"/>
      <c r="CRP49" s="952"/>
      <c r="CRQ49" s="952"/>
      <c r="CRR49" s="952"/>
      <c r="CRS49" s="952"/>
      <c r="CRT49" s="952"/>
      <c r="CRU49" s="952"/>
      <c r="CRV49" s="952"/>
      <c r="CRW49" s="952"/>
      <c r="CRX49" s="952"/>
      <c r="CRY49" s="952"/>
      <c r="CRZ49" s="952"/>
      <c r="CSA49" s="952"/>
      <c r="CSB49" s="952"/>
      <c r="CSC49" s="952"/>
      <c r="CSD49" s="952"/>
      <c r="CSE49" s="952"/>
      <c r="CSF49" s="952"/>
      <c r="CSG49" s="952"/>
      <c r="CSH49" s="952"/>
      <c r="CSI49" s="952"/>
      <c r="CSJ49" s="952"/>
      <c r="CSK49" s="952"/>
      <c r="CSL49" s="952"/>
      <c r="CSM49" s="952"/>
      <c r="CSN49" s="952"/>
      <c r="CSO49" s="952"/>
      <c r="CSP49" s="952"/>
      <c r="CSQ49" s="952"/>
      <c r="CSR49" s="952"/>
      <c r="CSS49" s="952"/>
      <c r="CST49" s="952"/>
      <c r="CSU49" s="952"/>
      <c r="CSV49" s="952"/>
      <c r="CSW49" s="952"/>
      <c r="CSX49" s="952"/>
      <c r="CSY49" s="952"/>
      <c r="CSZ49" s="952"/>
      <c r="CTA49" s="952"/>
      <c r="CTB49" s="952"/>
      <c r="CTC49" s="952"/>
      <c r="CTD49" s="952"/>
      <c r="CTE49" s="952"/>
      <c r="CTF49" s="952"/>
      <c r="CTG49" s="952"/>
      <c r="CTH49" s="952"/>
      <c r="CTI49" s="952"/>
      <c r="CTJ49" s="952"/>
      <c r="CTK49" s="952"/>
      <c r="CTL49" s="952"/>
      <c r="CTM49" s="952"/>
      <c r="CTN49" s="952"/>
      <c r="CTO49" s="952"/>
      <c r="CTP49" s="952"/>
      <c r="CTQ49" s="952"/>
      <c r="CTR49" s="952"/>
      <c r="CTS49" s="952"/>
      <c r="CTT49" s="952"/>
      <c r="CTU49" s="952"/>
      <c r="CTV49" s="952"/>
      <c r="CTW49" s="952"/>
      <c r="CTX49" s="952"/>
      <c r="CTY49" s="952"/>
      <c r="CTZ49" s="952"/>
      <c r="CUA49" s="952"/>
      <c r="CUB49" s="952"/>
      <c r="CUC49" s="952"/>
      <c r="CUD49" s="952"/>
      <c r="CUE49" s="952"/>
      <c r="CUF49" s="952"/>
      <c r="CUG49" s="952"/>
      <c r="CUH49" s="952"/>
      <c r="CUI49" s="952"/>
      <c r="CUJ49" s="952"/>
      <c r="CUK49" s="952"/>
      <c r="CUL49" s="952"/>
      <c r="CUM49" s="952"/>
      <c r="CUN49" s="952"/>
      <c r="CUO49" s="952"/>
      <c r="CUP49" s="952"/>
      <c r="CUQ49" s="952"/>
      <c r="CUR49" s="952"/>
      <c r="CUS49" s="952"/>
      <c r="CUT49" s="952"/>
      <c r="CUU49" s="952"/>
      <c r="CUV49" s="952"/>
      <c r="CUW49" s="952"/>
      <c r="CUX49" s="952"/>
      <c r="CUY49" s="952"/>
      <c r="CUZ49" s="952"/>
      <c r="CVA49" s="952"/>
      <c r="CVB49" s="952"/>
      <c r="CVC49" s="952"/>
      <c r="CVD49" s="952"/>
      <c r="CVE49" s="952"/>
      <c r="CVF49" s="952"/>
      <c r="CVG49" s="952"/>
      <c r="CVH49" s="952"/>
      <c r="CVI49" s="952"/>
      <c r="CVJ49" s="952"/>
      <c r="CVK49" s="952"/>
      <c r="CVL49" s="952"/>
      <c r="CVM49" s="952"/>
      <c r="CVN49" s="952"/>
      <c r="CVO49" s="952"/>
      <c r="CVP49" s="952"/>
      <c r="CVQ49" s="952"/>
      <c r="CVR49" s="952"/>
      <c r="CVS49" s="952"/>
      <c r="CVT49" s="952"/>
      <c r="CVU49" s="952"/>
      <c r="CVV49" s="952"/>
      <c r="CVW49" s="952"/>
      <c r="CVX49" s="952"/>
      <c r="CVY49" s="952"/>
      <c r="CVZ49" s="952"/>
      <c r="CWA49" s="952"/>
      <c r="CWB49" s="952"/>
      <c r="CWC49" s="952"/>
      <c r="CWD49" s="952"/>
      <c r="CWE49" s="952"/>
      <c r="CWF49" s="952"/>
      <c r="CWG49" s="952"/>
      <c r="CWH49" s="952"/>
      <c r="CWI49" s="952"/>
      <c r="CWJ49" s="952"/>
      <c r="CWK49" s="952"/>
      <c r="CWL49" s="952"/>
      <c r="CWM49" s="952"/>
      <c r="CWN49" s="952"/>
      <c r="CWO49" s="952"/>
      <c r="CWP49" s="952"/>
      <c r="CWQ49" s="952"/>
      <c r="CWR49" s="952"/>
      <c r="CWS49" s="952"/>
      <c r="CWT49" s="952"/>
      <c r="CWU49" s="952"/>
      <c r="CWV49" s="952"/>
      <c r="CWW49" s="952"/>
      <c r="CWX49" s="952"/>
      <c r="CWY49" s="952"/>
      <c r="CWZ49" s="952"/>
      <c r="CXA49" s="952"/>
      <c r="CXB49" s="952"/>
      <c r="CXC49" s="952"/>
      <c r="CXD49" s="952"/>
      <c r="CXE49" s="952"/>
      <c r="CXF49" s="952"/>
      <c r="CXG49" s="952"/>
      <c r="CXH49" s="952"/>
      <c r="CXI49" s="952"/>
      <c r="CXJ49" s="952"/>
      <c r="CXK49" s="952"/>
      <c r="CXL49" s="952"/>
      <c r="CXM49" s="952"/>
      <c r="CXN49" s="952"/>
      <c r="CXO49" s="952"/>
      <c r="CXP49" s="952"/>
      <c r="CXQ49" s="952"/>
      <c r="CXR49" s="952"/>
      <c r="CXS49" s="952"/>
      <c r="CXT49" s="952"/>
      <c r="CXU49" s="952"/>
      <c r="CXV49" s="952"/>
      <c r="CXW49" s="952"/>
      <c r="CXX49" s="952"/>
      <c r="CXY49" s="952"/>
      <c r="CXZ49" s="952"/>
      <c r="CYA49" s="952"/>
      <c r="CYB49" s="952"/>
      <c r="CYC49" s="952"/>
      <c r="CYD49" s="952"/>
      <c r="CYE49" s="952"/>
      <c r="CYF49" s="952"/>
      <c r="CYG49" s="952"/>
      <c r="CYH49" s="952"/>
      <c r="CYI49" s="952"/>
      <c r="CYJ49" s="952"/>
      <c r="CYK49" s="952"/>
      <c r="CYL49" s="952"/>
      <c r="CYM49" s="952"/>
      <c r="CYN49" s="952"/>
      <c r="CYO49" s="952"/>
      <c r="CYP49" s="952"/>
      <c r="CYQ49" s="952"/>
      <c r="CYR49" s="952"/>
      <c r="CYS49" s="952"/>
      <c r="CYT49" s="952"/>
      <c r="CYU49" s="952"/>
      <c r="CYV49" s="952"/>
      <c r="CYW49" s="952"/>
      <c r="CYX49" s="952"/>
      <c r="CYY49" s="952"/>
      <c r="CYZ49" s="952"/>
      <c r="CZA49" s="952"/>
      <c r="CZB49" s="952"/>
      <c r="CZC49" s="952"/>
      <c r="CZD49" s="952"/>
      <c r="CZE49" s="952"/>
      <c r="CZF49" s="952"/>
      <c r="CZG49" s="952"/>
      <c r="CZH49" s="952"/>
      <c r="CZI49" s="952"/>
      <c r="CZJ49" s="952"/>
      <c r="CZK49" s="952"/>
      <c r="CZL49" s="952"/>
      <c r="CZM49" s="952"/>
      <c r="CZN49" s="952"/>
      <c r="CZO49" s="952"/>
      <c r="CZP49" s="952"/>
      <c r="CZQ49" s="952"/>
      <c r="CZR49" s="952"/>
      <c r="CZS49" s="952"/>
      <c r="CZT49" s="952"/>
      <c r="CZU49" s="952"/>
      <c r="CZV49" s="952"/>
      <c r="CZW49" s="952"/>
      <c r="CZX49" s="952"/>
      <c r="CZY49" s="952"/>
      <c r="CZZ49" s="952"/>
      <c r="DAA49" s="952"/>
      <c r="DAB49" s="952"/>
      <c r="DAC49" s="952"/>
      <c r="DAD49" s="952"/>
      <c r="DAE49" s="952"/>
      <c r="DAF49" s="952"/>
      <c r="DAG49" s="952"/>
      <c r="DAH49" s="952"/>
      <c r="DAI49" s="952"/>
      <c r="DAJ49" s="952"/>
      <c r="DAK49" s="952"/>
      <c r="DAL49" s="952"/>
      <c r="DAM49" s="952"/>
      <c r="DAN49" s="952"/>
      <c r="DAO49" s="952"/>
      <c r="DAP49" s="952"/>
      <c r="DAQ49" s="952"/>
      <c r="DAR49" s="952"/>
      <c r="DAS49" s="952"/>
      <c r="DAT49" s="952"/>
      <c r="DAU49" s="952"/>
      <c r="DAV49" s="952"/>
      <c r="DAW49" s="952"/>
      <c r="DAX49" s="952"/>
      <c r="DAY49" s="952"/>
      <c r="DAZ49" s="952"/>
      <c r="DBA49" s="952"/>
      <c r="DBB49" s="952"/>
      <c r="DBC49" s="952"/>
      <c r="DBD49" s="952"/>
      <c r="DBE49" s="952"/>
      <c r="DBF49" s="952"/>
      <c r="DBG49" s="952"/>
      <c r="DBH49" s="952"/>
      <c r="DBI49" s="952"/>
      <c r="DBJ49" s="952"/>
      <c r="DBK49" s="952"/>
      <c r="DBL49" s="952"/>
      <c r="DBM49" s="952"/>
      <c r="DBN49" s="952"/>
      <c r="DBO49" s="952"/>
      <c r="DBP49" s="952"/>
      <c r="DBQ49" s="952"/>
      <c r="DBR49" s="952"/>
      <c r="DBS49" s="952"/>
      <c r="DBT49" s="952"/>
      <c r="DBU49" s="952"/>
      <c r="DBV49" s="952"/>
      <c r="DBW49" s="952"/>
      <c r="DBX49" s="952"/>
      <c r="DBY49" s="952"/>
      <c r="DBZ49" s="952"/>
      <c r="DCA49" s="952"/>
      <c r="DCB49" s="952"/>
      <c r="DCC49" s="952"/>
      <c r="DCD49" s="952"/>
      <c r="DCE49" s="952"/>
      <c r="DCF49" s="952"/>
      <c r="DCG49" s="952"/>
      <c r="DCH49" s="952"/>
      <c r="DCI49" s="952"/>
      <c r="DCJ49" s="952"/>
      <c r="DCK49" s="952"/>
      <c r="DCL49" s="952"/>
      <c r="DCM49" s="952"/>
      <c r="DCN49" s="952"/>
      <c r="DCO49" s="952"/>
      <c r="DCP49" s="952"/>
      <c r="DCQ49" s="952"/>
      <c r="DCR49" s="952"/>
      <c r="DCS49" s="952"/>
      <c r="DCT49" s="952"/>
      <c r="DCU49" s="952"/>
      <c r="DCV49" s="952"/>
      <c r="DCW49" s="952"/>
      <c r="DCX49" s="952"/>
      <c r="DCY49" s="952"/>
      <c r="DCZ49" s="952"/>
      <c r="DDA49" s="952"/>
      <c r="DDB49" s="952"/>
      <c r="DDC49" s="952"/>
      <c r="DDD49" s="952"/>
      <c r="DDE49" s="952"/>
      <c r="DDF49" s="952"/>
      <c r="DDG49" s="952"/>
      <c r="DDH49" s="952"/>
      <c r="DDI49" s="952"/>
      <c r="DDJ49" s="952"/>
      <c r="DDK49" s="952"/>
      <c r="DDL49" s="952"/>
      <c r="DDM49" s="952"/>
      <c r="DDN49" s="952"/>
      <c r="DDO49" s="952"/>
      <c r="DDP49" s="952"/>
      <c r="DDQ49" s="952"/>
      <c r="DDR49" s="952"/>
      <c r="DDS49" s="952"/>
      <c r="DDT49" s="952"/>
      <c r="DDU49" s="952"/>
      <c r="DDV49" s="952"/>
      <c r="DDW49" s="952"/>
      <c r="DDX49" s="952"/>
      <c r="DDY49" s="952"/>
      <c r="DDZ49" s="952"/>
      <c r="DEA49" s="952"/>
      <c r="DEB49" s="952"/>
      <c r="DEC49" s="952"/>
      <c r="DED49" s="952"/>
      <c r="DEE49" s="952"/>
      <c r="DEF49" s="952"/>
      <c r="DEG49" s="952"/>
      <c r="DEH49" s="952"/>
      <c r="DEI49" s="952"/>
      <c r="DEJ49" s="952"/>
      <c r="DEK49" s="952"/>
      <c r="DEL49" s="952"/>
      <c r="DEM49" s="952"/>
      <c r="DEN49" s="952"/>
      <c r="DEO49" s="952"/>
      <c r="DEP49" s="952"/>
      <c r="DEQ49" s="952"/>
      <c r="DER49" s="952"/>
      <c r="DES49" s="952"/>
      <c r="DET49" s="952"/>
      <c r="DEU49" s="952"/>
      <c r="DEV49" s="952"/>
      <c r="DEW49" s="952"/>
      <c r="DEX49" s="952"/>
      <c r="DEY49" s="952"/>
      <c r="DEZ49" s="952"/>
      <c r="DFA49" s="952"/>
      <c r="DFB49" s="952"/>
      <c r="DFC49" s="952"/>
      <c r="DFD49" s="952"/>
      <c r="DFE49" s="952"/>
      <c r="DFF49" s="952"/>
      <c r="DFG49" s="952"/>
      <c r="DFH49" s="952"/>
      <c r="DFI49" s="952"/>
      <c r="DFJ49" s="952"/>
      <c r="DFK49" s="952"/>
      <c r="DFL49" s="952"/>
      <c r="DFM49" s="952"/>
      <c r="DFN49" s="952"/>
      <c r="DFO49" s="952"/>
      <c r="DFP49" s="952"/>
      <c r="DFQ49" s="952"/>
      <c r="DFR49" s="952"/>
      <c r="DFS49" s="952"/>
      <c r="DFT49" s="952"/>
      <c r="DFU49" s="952"/>
      <c r="DFV49" s="952"/>
      <c r="DFW49" s="952"/>
      <c r="DFX49" s="952"/>
      <c r="DFY49" s="952"/>
      <c r="DFZ49" s="952"/>
      <c r="DGA49" s="952"/>
      <c r="DGB49" s="952"/>
      <c r="DGC49" s="952"/>
      <c r="DGD49" s="952"/>
      <c r="DGE49" s="952"/>
      <c r="DGF49" s="952"/>
      <c r="DGG49" s="952"/>
      <c r="DGH49" s="952"/>
      <c r="DGI49" s="952"/>
      <c r="DGJ49" s="952"/>
      <c r="DGK49" s="952"/>
      <c r="DGL49" s="952"/>
      <c r="DGM49" s="952"/>
      <c r="DGN49" s="952"/>
      <c r="DGO49" s="952"/>
      <c r="DGP49" s="952"/>
      <c r="DGQ49" s="952"/>
      <c r="DGR49" s="952"/>
      <c r="DGS49" s="952"/>
      <c r="DGT49" s="952"/>
      <c r="DGU49" s="952"/>
      <c r="DGV49" s="952"/>
      <c r="DGW49" s="952"/>
      <c r="DGX49" s="952"/>
      <c r="DGY49" s="952"/>
      <c r="DGZ49" s="952"/>
      <c r="DHA49" s="952"/>
      <c r="DHB49" s="952"/>
      <c r="DHC49" s="952"/>
      <c r="DHD49" s="952"/>
      <c r="DHE49" s="952"/>
      <c r="DHF49" s="952"/>
      <c r="DHG49" s="952"/>
      <c r="DHH49" s="952"/>
      <c r="DHI49" s="952"/>
      <c r="DHJ49" s="952"/>
      <c r="DHK49" s="952"/>
      <c r="DHL49" s="952"/>
      <c r="DHM49" s="952"/>
      <c r="DHN49" s="952"/>
      <c r="DHO49" s="952"/>
      <c r="DHP49" s="952"/>
      <c r="DHQ49" s="952"/>
      <c r="DHR49" s="952"/>
      <c r="DHS49" s="952"/>
      <c r="DHT49" s="952"/>
      <c r="DHU49" s="952"/>
      <c r="DHV49" s="952"/>
      <c r="DHW49" s="952"/>
      <c r="DHX49" s="952"/>
      <c r="DHY49" s="952"/>
      <c r="DHZ49" s="952"/>
      <c r="DIA49" s="952"/>
      <c r="DIB49" s="952"/>
      <c r="DIC49" s="952"/>
      <c r="DID49" s="952"/>
      <c r="DIE49" s="952"/>
      <c r="DIF49" s="952"/>
      <c r="DIG49" s="952"/>
      <c r="DIH49" s="952"/>
      <c r="DII49" s="952"/>
      <c r="DIJ49" s="952"/>
      <c r="DIK49" s="952"/>
      <c r="DIL49" s="952"/>
      <c r="DIM49" s="952"/>
      <c r="DIN49" s="952"/>
      <c r="DIO49" s="952"/>
      <c r="DIP49" s="952"/>
      <c r="DIQ49" s="952"/>
      <c r="DIR49" s="952"/>
      <c r="DIS49" s="952"/>
      <c r="DIT49" s="952"/>
      <c r="DIU49" s="952"/>
      <c r="DIV49" s="952"/>
      <c r="DIW49" s="952"/>
      <c r="DIX49" s="952"/>
      <c r="DIY49" s="952"/>
      <c r="DIZ49" s="952"/>
      <c r="DJA49" s="952"/>
      <c r="DJB49" s="952"/>
      <c r="DJC49" s="952"/>
      <c r="DJD49" s="952"/>
      <c r="DJE49" s="952"/>
      <c r="DJF49" s="952"/>
      <c r="DJG49" s="952"/>
      <c r="DJH49" s="952"/>
      <c r="DJI49" s="952"/>
      <c r="DJJ49" s="952"/>
      <c r="DJK49" s="952"/>
      <c r="DJL49" s="952"/>
      <c r="DJM49" s="952"/>
      <c r="DJN49" s="952"/>
      <c r="DJO49" s="952"/>
      <c r="DJP49" s="952"/>
      <c r="DJQ49" s="952"/>
      <c r="DJR49" s="952"/>
      <c r="DJS49" s="952"/>
      <c r="DJT49" s="952"/>
      <c r="DJU49" s="952"/>
      <c r="DJV49" s="952"/>
      <c r="DJW49" s="952"/>
      <c r="DJX49" s="952"/>
      <c r="DJY49" s="952"/>
      <c r="DJZ49" s="952"/>
      <c r="DKA49" s="952"/>
      <c r="DKB49" s="952"/>
      <c r="DKC49" s="952"/>
      <c r="DKD49" s="952"/>
      <c r="DKE49" s="952"/>
      <c r="DKF49" s="952"/>
      <c r="DKG49" s="952"/>
      <c r="DKH49" s="952"/>
      <c r="DKI49" s="952"/>
      <c r="DKJ49" s="952"/>
      <c r="DKK49" s="952"/>
      <c r="DKL49" s="952"/>
      <c r="DKM49" s="952"/>
      <c r="DKN49" s="952"/>
      <c r="DKO49" s="952"/>
      <c r="DKP49" s="952"/>
      <c r="DKQ49" s="952"/>
      <c r="DKR49" s="952"/>
      <c r="DKS49" s="952"/>
      <c r="DKT49" s="952"/>
      <c r="DKU49" s="952"/>
      <c r="DKV49" s="952"/>
      <c r="DKW49" s="952"/>
      <c r="DKX49" s="952"/>
      <c r="DKY49" s="952"/>
      <c r="DKZ49" s="952"/>
      <c r="DLA49" s="952"/>
      <c r="DLB49" s="952"/>
      <c r="DLC49" s="952"/>
      <c r="DLD49" s="952"/>
      <c r="DLE49" s="952"/>
      <c r="DLF49" s="952"/>
      <c r="DLG49" s="952"/>
      <c r="DLH49" s="952"/>
      <c r="DLI49" s="952"/>
      <c r="DLJ49" s="952"/>
      <c r="DLK49" s="952"/>
      <c r="DLL49" s="952"/>
      <c r="DLM49" s="952"/>
      <c r="DLN49" s="952"/>
      <c r="DLO49" s="952"/>
      <c r="DLP49" s="952"/>
      <c r="DLQ49" s="952"/>
      <c r="DLR49" s="952"/>
      <c r="DLS49" s="952"/>
      <c r="DLT49" s="952"/>
      <c r="DLU49" s="952"/>
      <c r="DLV49" s="952"/>
      <c r="DLW49" s="952"/>
      <c r="DLX49" s="952"/>
      <c r="DLY49" s="952"/>
      <c r="DLZ49" s="952"/>
      <c r="DMA49" s="952"/>
      <c r="DMB49" s="952"/>
      <c r="DMC49" s="952"/>
      <c r="DMD49" s="952"/>
      <c r="DME49" s="952"/>
      <c r="DMF49" s="952"/>
      <c r="DMG49" s="952"/>
      <c r="DMH49" s="952"/>
      <c r="DMI49" s="952"/>
      <c r="DMJ49" s="952"/>
      <c r="DMK49" s="952"/>
      <c r="DML49" s="952"/>
      <c r="DMM49" s="952"/>
      <c r="DMN49" s="952"/>
      <c r="DMO49" s="952"/>
      <c r="DMP49" s="952"/>
      <c r="DMQ49" s="952"/>
      <c r="DMR49" s="952"/>
      <c r="DMS49" s="952"/>
      <c r="DMT49" s="952"/>
      <c r="DMU49" s="952"/>
      <c r="DMV49" s="952"/>
      <c r="DMW49" s="952"/>
      <c r="DMX49" s="952"/>
      <c r="DMY49" s="952"/>
      <c r="DMZ49" s="952"/>
      <c r="DNA49" s="952"/>
      <c r="DNB49" s="952"/>
      <c r="DNC49" s="952"/>
      <c r="DND49" s="952"/>
      <c r="DNE49" s="952"/>
      <c r="DNF49" s="952"/>
      <c r="DNG49" s="952"/>
      <c r="DNH49" s="952"/>
      <c r="DNI49" s="952"/>
      <c r="DNJ49" s="952"/>
      <c r="DNK49" s="952"/>
      <c r="DNL49" s="952"/>
      <c r="DNM49" s="952"/>
      <c r="DNN49" s="952"/>
      <c r="DNO49" s="952"/>
      <c r="DNP49" s="952"/>
      <c r="DNQ49" s="952"/>
      <c r="DNR49" s="952"/>
      <c r="DNS49" s="952"/>
      <c r="DNT49" s="952"/>
      <c r="DNU49" s="952"/>
      <c r="DNV49" s="952"/>
      <c r="DNW49" s="952"/>
      <c r="DNX49" s="952"/>
      <c r="DNY49" s="952"/>
      <c r="DNZ49" s="952"/>
      <c r="DOA49" s="952"/>
      <c r="DOB49" s="952"/>
      <c r="DOC49" s="952"/>
      <c r="DOD49" s="952"/>
      <c r="DOE49" s="952"/>
      <c r="DOF49" s="952"/>
      <c r="DOG49" s="952"/>
      <c r="DOH49" s="952"/>
      <c r="DOI49" s="952"/>
      <c r="DOJ49" s="952"/>
      <c r="DOK49" s="952"/>
      <c r="DOL49" s="952"/>
      <c r="DOM49" s="952"/>
      <c r="DON49" s="952"/>
      <c r="DOO49" s="952"/>
      <c r="DOP49" s="952"/>
      <c r="DOQ49" s="952"/>
      <c r="DOR49" s="952"/>
      <c r="DOS49" s="952"/>
      <c r="DOT49" s="952"/>
      <c r="DOU49" s="952"/>
      <c r="DOV49" s="952"/>
      <c r="DOW49" s="952"/>
      <c r="DOX49" s="952"/>
      <c r="DOY49" s="952"/>
      <c r="DOZ49" s="952"/>
      <c r="DPA49" s="952"/>
      <c r="DPB49" s="952"/>
      <c r="DPC49" s="952"/>
      <c r="DPD49" s="952"/>
      <c r="DPE49" s="952"/>
      <c r="DPF49" s="952"/>
      <c r="DPG49" s="952"/>
      <c r="DPH49" s="952"/>
      <c r="DPI49" s="952"/>
      <c r="DPJ49" s="952"/>
      <c r="DPK49" s="952"/>
      <c r="DPL49" s="952"/>
      <c r="DPM49" s="952"/>
      <c r="DPN49" s="952"/>
      <c r="DPO49" s="952"/>
      <c r="DPP49" s="952"/>
      <c r="DPQ49" s="952"/>
      <c r="DPR49" s="952"/>
      <c r="DPS49" s="952"/>
      <c r="DPT49" s="952"/>
      <c r="DPU49" s="952"/>
      <c r="DPV49" s="952"/>
      <c r="DPW49" s="952"/>
      <c r="DPX49" s="952"/>
      <c r="DPY49" s="952"/>
      <c r="DPZ49" s="952"/>
      <c r="DQA49" s="952"/>
      <c r="DQB49" s="952"/>
      <c r="DQC49" s="952"/>
      <c r="DQD49" s="952"/>
      <c r="DQE49" s="952"/>
      <c r="DQF49" s="952"/>
      <c r="DQG49" s="952"/>
      <c r="DQH49" s="952"/>
      <c r="DQI49" s="952"/>
      <c r="DQJ49" s="952"/>
      <c r="DQK49" s="952"/>
      <c r="DQL49" s="952"/>
      <c r="DQM49" s="952"/>
      <c r="DQN49" s="952"/>
      <c r="DQO49" s="952"/>
      <c r="DQP49" s="952"/>
      <c r="DQQ49" s="952"/>
      <c r="DQR49" s="952"/>
      <c r="DQS49" s="952"/>
      <c r="DQT49" s="952"/>
      <c r="DQU49" s="952"/>
      <c r="DQV49" s="952"/>
      <c r="DQW49" s="952"/>
      <c r="DQX49" s="952"/>
      <c r="DQY49" s="952"/>
      <c r="DQZ49" s="952"/>
      <c r="DRA49" s="952"/>
      <c r="DRB49" s="952"/>
      <c r="DRC49" s="952"/>
      <c r="DRD49" s="952"/>
      <c r="DRE49" s="952"/>
      <c r="DRF49" s="952"/>
      <c r="DRG49" s="952"/>
      <c r="DRH49" s="952"/>
      <c r="DRI49" s="952"/>
      <c r="DRJ49" s="952"/>
      <c r="DRK49" s="952"/>
      <c r="DRL49" s="952"/>
      <c r="DRM49" s="952"/>
      <c r="DRN49" s="952"/>
      <c r="DRO49" s="952"/>
      <c r="DRP49" s="952"/>
      <c r="DRQ49" s="952"/>
      <c r="DRR49" s="952"/>
      <c r="DRS49" s="952"/>
      <c r="DRT49" s="952"/>
      <c r="DRU49" s="952"/>
      <c r="DRV49" s="952"/>
      <c r="DRW49" s="952"/>
      <c r="DRX49" s="952"/>
      <c r="DRY49" s="952"/>
      <c r="DRZ49" s="952"/>
      <c r="DSA49" s="952"/>
      <c r="DSB49" s="952"/>
      <c r="DSC49" s="952"/>
      <c r="DSD49" s="952"/>
      <c r="DSE49" s="952"/>
      <c r="DSF49" s="952"/>
      <c r="DSG49" s="952"/>
      <c r="DSH49" s="952"/>
      <c r="DSI49" s="952"/>
      <c r="DSJ49" s="952"/>
      <c r="DSK49" s="952"/>
      <c r="DSL49" s="952"/>
      <c r="DSM49" s="952"/>
      <c r="DSN49" s="952"/>
      <c r="DSO49" s="952"/>
      <c r="DSP49" s="952"/>
      <c r="DSQ49" s="952"/>
      <c r="DSR49" s="952"/>
      <c r="DSS49" s="952"/>
      <c r="DST49" s="952"/>
      <c r="DSU49" s="952"/>
      <c r="DSV49" s="952"/>
      <c r="DSW49" s="952"/>
      <c r="DSX49" s="952"/>
      <c r="DSY49" s="952"/>
      <c r="DSZ49" s="952"/>
      <c r="DTA49" s="952"/>
      <c r="DTB49" s="952"/>
      <c r="DTC49" s="952"/>
      <c r="DTD49" s="952"/>
      <c r="DTE49" s="952"/>
      <c r="DTF49" s="952"/>
      <c r="DTG49" s="952"/>
      <c r="DTH49" s="952"/>
      <c r="DTI49" s="952"/>
      <c r="DTJ49" s="952"/>
      <c r="DTK49" s="952"/>
      <c r="DTL49" s="952"/>
      <c r="DTM49" s="952"/>
      <c r="DTN49" s="952"/>
      <c r="DTO49" s="952"/>
      <c r="DTP49" s="952"/>
      <c r="DTQ49" s="952"/>
      <c r="DTR49" s="952"/>
      <c r="DTS49" s="952"/>
      <c r="DTT49" s="952"/>
      <c r="DTU49" s="952"/>
      <c r="DTV49" s="952"/>
      <c r="DTW49" s="952"/>
      <c r="DTX49" s="952"/>
      <c r="DTY49" s="952"/>
      <c r="DTZ49" s="952"/>
      <c r="DUA49" s="952"/>
      <c r="DUB49" s="952"/>
      <c r="DUC49" s="952"/>
      <c r="DUD49" s="952"/>
      <c r="DUE49" s="952"/>
      <c r="DUF49" s="952"/>
      <c r="DUG49" s="952"/>
      <c r="DUH49" s="952"/>
      <c r="DUI49" s="952"/>
      <c r="DUJ49" s="952"/>
      <c r="DUK49" s="952"/>
      <c r="DUL49" s="952"/>
      <c r="DUM49" s="952"/>
      <c r="DUN49" s="952"/>
      <c r="DUO49" s="952"/>
      <c r="DUP49" s="952"/>
      <c r="DUQ49" s="952"/>
      <c r="DUR49" s="952"/>
      <c r="DUS49" s="952"/>
      <c r="DUT49" s="952"/>
      <c r="DUU49" s="952"/>
      <c r="DUV49" s="952"/>
      <c r="DUW49" s="952"/>
      <c r="DUX49" s="952"/>
      <c r="DUY49" s="952"/>
      <c r="DUZ49" s="952"/>
      <c r="DVA49" s="952"/>
      <c r="DVB49" s="952"/>
      <c r="DVC49" s="952"/>
      <c r="DVD49" s="952"/>
      <c r="DVE49" s="952"/>
      <c r="DVF49" s="952"/>
      <c r="DVG49" s="952"/>
      <c r="DVH49" s="952"/>
      <c r="DVI49" s="952"/>
      <c r="DVJ49" s="952"/>
      <c r="DVK49" s="952"/>
      <c r="DVL49" s="952"/>
      <c r="DVM49" s="952"/>
      <c r="DVN49" s="952"/>
      <c r="DVO49" s="952"/>
      <c r="DVP49" s="952"/>
      <c r="DVQ49" s="952"/>
      <c r="DVR49" s="952"/>
      <c r="DVS49" s="952"/>
      <c r="DVT49" s="952"/>
      <c r="DVU49" s="952"/>
      <c r="DVV49" s="952"/>
      <c r="DVW49" s="952"/>
      <c r="DVX49" s="952"/>
      <c r="DVY49" s="952"/>
      <c r="DVZ49" s="952"/>
      <c r="DWA49" s="952"/>
      <c r="DWB49" s="952"/>
      <c r="DWC49" s="952"/>
      <c r="DWD49" s="952"/>
      <c r="DWE49" s="952"/>
      <c r="DWF49" s="952"/>
      <c r="DWG49" s="952"/>
      <c r="DWH49" s="952"/>
      <c r="DWI49" s="952"/>
      <c r="DWJ49" s="952"/>
      <c r="DWK49" s="952"/>
      <c r="DWL49" s="952"/>
      <c r="DWM49" s="952"/>
      <c r="DWN49" s="952"/>
      <c r="DWO49" s="952"/>
      <c r="DWP49" s="952"/>
      <c r="DWQ49" s="952"/>
      <c r="DWR49" s="952"/>
      <c r="DWS49" s="952"/>
      <c r="DWT49" s="952"/>
      <c r="DWU49" s="952"/>
      <c r="DWV49" s="952"/>
      <c r="DWW49" s="952"/>
      <c r="DWX49" s="952"/>
      <c r="DWY49" s="952"/>
      <c r="DWZ49" s="952"/>
      <c r="DXA49" s="952"/>
      <c r="DXB49" s="952"/>
      <c r="DXC49" s="952"/>
      <c r="DXD49" s="952"/>
      <c r="DXE49" s="952"/>
      <c r="DXF49" s="952"/>
      <c r="DXG49" s="952"/>
      <c r="DXH49" s="952"/>
      <c r="DXI49" s="952"/>
      <c r="DXJ49" s="952"/>
      <c r="DXK49" s="952"/>
      <c r="DXL49" s="952"/>
      <c r="DXM49" s="952"/>
      <c r="DXN49" s="952"/>
      <c r="DXO49" s="952"/>
      <c r="DXP49" s="952"/>
      <c r="DXQ49" s="952"/>
      <c r="DXR49" s="952"/>
      <c r="DXS49" s="952"/>
      <c r="DXT49" s="952"/>
      <c r="DXU49" s="952"/>
      <c r="DXV49" s="952"/>
      <c r="DXW49" s="952"/>
      <c r="DXX49" s="952"/>
      <c r="DXY49" s="952"/>
      <c r="DXZ49" s="952"/>
      <c r="DYA49" s="952"/>
      <c r="DYB49" s="952"/>
      <c r="DYC49" s="952"/>
      <c r="DYD49" s="952"/>
      <c r="DYE49" s="952"/>
      <c r="DYF49" s="952"/>
      <c r="DYG49" s="952"/>
      <c r="DYH49" s="952"/>
      <c r="DYI49" s="952"/>
      <c r="DYJ49" s="952"/>
      <c r="DYK49" s="952"/>
      <c r="DYL49" s="952"/>
      <c r="DYM49" s="952"/>
      <c r="DYN49" s="952"/>
      <c r="DYO49" s="952"/>
      <c r="DYP49" s="952"/>
      <c r="DYQ49" s="952"/>
      <c r="DYR49" s="952"/>
      <c r="DYS49" s="952"/>
      <c r="DYT49" s="952"/>
      <c r="DYU49" s="952"/>
      <c r="DYV49" s="952"/>
      <c r="DYW49" s="952"/>
      <c r="DYX49" s="952"/>
      <c r="DYY49" s="952"/>
      <c r="DYZ49" s="952"/>
      <c r="DZA49" s="952"/>
      <c r="DZB49" s="952"/>
      <c r="DZC49" s="952"/>
      <c r="DZD49" s="952"/>
      <c r="DZE49" s="952"/>
      <c r="DZF49" s="952"/>
      <c r="DZG49" s="952"/>
      <c r="DZH49" s="952"/>
      <c r="DZI49" s="952"/>
      <c r="DZJ49" s="952"/>
      <c r="DZK49" s="952"/>
      <c r="DZL49" s="952"/>
      <c r="DZM49" s="952"/>
      <c r="DZN49" s="952"/>
      <c r="DZO49" s="952"/>
      <c r="DZP49" s="952"/>
      <c r="DZQ49" s="952"/>
      <c r="DZR49" s="952"/>
      <c r="DZS49" s="952"/>
      <c r="DZT49" s="952"/>
      <c r="DZU49" s="952"/>
      <c r="DZV49" s="952"/>
      <c r="DZW49" s="952"/>
      <c r="DZX49" s="952"/>
      <c r="DZY49" s="952"/>
      <c r="DZZ49" s="952"/>
      <c r="EAA49" s="952"/>
      <c r="EAB49" s="952"/>
      <c r="EAC49" s="952"/>
      <c r="EAD49" s="952"/>
      <c r="EAE49" s="952"/>
      <c r="EAF49" s="952"/>
      <c r="EAG49" s="952"/>
      <c r="EAH49" s="952"/>
      <c r="EAI49" s="952"/>
      <c r="EAJ49" s="952"/>
      <c r="EAK49" s="952"/>
      <c r="EAL49" s="952"/>
      <c r="EAM49" s="952"/>
      <c r="EAN49" s="952"/>
      <c r="EAO49" s="952"/>
      <c r="EAP49" s="952"/>
      <c r="EAQ49" s="952"/>
      <c r="EAR49" s="952"/>
      <c r="EAS49" s="952"/>
      <c r="EAT49" s="952"/>
      <c r="EAU49" s="952"/>
      <c r="EAV49" s="952"/>
      <c r="EAW49" s="952"/>
      <c r="EAX49" s="952"/>
      <c r="EAY49" s="952"/>
      <c r="EAZ49" s="952"/>
      <c r="EBA49" s="952"/>
      <c r="EBB49" s="952"/>
      <c r="EBC49" s="952"/>
      <c r="EBD49" s="952"/>
      <c r="EBE49" s="952"/>
      <c r="EBF49" s="952"/>
      <c r="EBG49" s="952"/>
      <c r="EBH49" s="952"/>
      <c r="EBI49" s="952"/>
      <c r="EBJ49" s="952"/>
      <c r="EBK49" s="952"/>
      <c r="EBL49" s="952"/>
      <c r="EBM49" s="952"/>
      <c r="EBN49" s="952"/>
      <c r="EBO49" s="952"/>
      <c r="EBP49" s="952"/>
      <c r="EBQ49" s="952"/>
      <c r="EBR49" s="952"/>
      <c r="EBS49" s="952"/>
      <c r="EBT49" s="952"/>
      <c r="EBU49" s="952"/>
      <c r="EBV49" s="952"/>
      <c r="EBW49" s="952"/>
      <c r="EBX49" s="952"/>
      <c r="EBY49" s="952"/>
      <c r="EBZ49" s="952"/>
      <c r="ECA49" s="952"/>
      <c r="ECB49" s="952"/>
      <c r="ECC49" s="952"/>
      <c r="ECD49" s="952"/>
      <c r="ECE49" s="952"/>
      <c r="ECF49" s="952"/>
      <c r="ECG49" s="952"/>
      <c r="ECH49" s="952"/>
      <c r="ECI49" s="952"/>
      <c r="ECJ49" s="952"/>
      <c r="ECK49" s="952"/>
      <c r="ECL49" s="952"/>
      <c r="ECM49" s="952"/>
      <c r="ECN49" s="952"/>
      <c r="ECO49" s="952"/>
      <c r="ECP49" s="952"/>
      <c r="ECQ49" s="952"/>
      <c r="ECR49" s="952"/>
      <c r="ECS49" s="952"/>
      <c r="ECT49" s="952"/>
      <c r="ECU49" s="952"/>
      <c r="ECV49" s="952"/>
      <c r="ECW49" s="952"/>
      <c r="ECX49" s="952"/>
      <c r="ECY49" s="952"/>
      <c r="ECZ49" s="952"/>
      <c r="EDA49" s="952"/>
      <c r="EDB49" s="952"/>
      <c r="EDC49" s="952"/>
      <c r="EDD49" s="952"/>
      <c r="EDE49" s="952"/>
      <c r="EDF49" s="952"/>
      <c r="EDG49" s="952"/>
      <c r="EDH49" s="952"/>
      <c r="EDI49" s="952"/>
      <c r="EDJ49" s="952"/>
      <c r="EDK49" s="952"/>
      <c r="EDL49" s="952"/>
      <c r="EDM49" s="952"/>
      <c r="EDN49" s="952"/>
      <c r="EDO49" s="952"/>
      <c r="EDP49" s="952"/>
      <c r="EDQ49" s="952"/>
      <c r="EDR49" s="952"/>
      <c r="EDS49" s="952"/>
      <c r="EDT49" s="952"/>
      <c r="EDU49" s="952"/>
      <c r="EDV49" s="952"/>
      <c r="EDW49" s="952"/>
      <c r="EDX49" s="952"/>
      <c r="EDY49" s="952"/>
      <c r="EDZ49" s="952"/>
      <c r="EEA49" s="952"/>
      <c r="EEB49" s="952"/>
      <c r="EEC49" s="952"/>
      <c r="EED49" s="952"/>
      <c r="EEE49" s="952"/>
      <c r="EEF49" s="952"/>
      <c r="EEG49" s="952"/>
      <c r="EEH49" s="952"/>
      <c r="EEI49" s="952"/>
      <c r="EEJ49" s="952"/>
      <c r="EEK49" s="952"/>
      <c r="EEL49" s="952"/>
      <c r="EEM49" s="952"/>
      <c r="EEN49" s="952"/>
      <c r="EEO49" s="952"/>
      <c r="EEP49" s="952"/>
      <c r="EEQ49" s="952"/>
      <c r="EER49" s="952"/>
      <c r="EES49" s="952"/>
      <c r="EET49" s="952"/>
      <c r="EEU49" s="952"/>
      <c r="EEV49" s="952"/>
      <c r="EEW49" s="952"/>
      <c r="EEX49" s="952"/>
      <c r="EEY49" s="952"/>
      <c r="EEZ49" s="952"/>
      <c r="EFA49" s="952"/>
      <c r="EFB49" s="952"/>
      <c r="EFC49" s="952"/>
      <c r="EFD49" s="952"/>
      <c r="EFE49" s="952"/>
      <c r="EFF49" s="952"/>
      <c r="EFG49" s="952"/>
      <c r="EFH49" s="952"/>
      <c r="EFI49" s="952"/>
      <c r="EFJ49" s="952"/>
      <c r="EFK49" s="952"/>
      <c r="EFL49" s="952"/>
      <c r="EFM49" s="952"/>
      <c r="EFN49" s="952"/>
      <c r="EFO49" s="952"/>
      <c r="EFP49" s="952"/>
      <c r="EFQ49" s="952"/>
      <c r="EFR49" s="952"/>
      <c r="EFS49" s="952"/>
      <c r="EFT49" s="952"/>
      <c r="EFU49" s="952"/>
      <c r="EFV49" s="952"/>
      <c r="EFW49" s="952"/>
      <c r="EFX49" s="952"/>
      <c r="EFY49" s="952"/>
      <c r="EFZ49" s="952"/>
      <c r="EGA49" s="952"/>
      <c r="EGB49" s="952"/>
      <c r="EGC49" s="952"/>
      <c r="EGD49" s="952"/>
      <c r="EGE49" s="952"/>
      <c r="EGF49" s="952"/>
      <c r="EGG49" s="952"/>
      <c r="EGH49" s="952"/>
      <c r="EGI49" s="952"/>
      <c r="EGJ49" s="952"/>
      <c r="EGK49" s="952"/>
      <c r="EGL49" s="952"/>
      <c r="EGM49" s="952"/>
      <c r="EGN49" s="952"/>
      <c r="EGO49" s="952"/>
      <c r="EGP49" s="952"/>
      <c r="EGQ49" s="952"/>
      <c r="EGR49" s="952"/>
      <c r="EGS49" s="952"/>
      <c r="EGT49" s="952"/>
      <c r="EGU49" s="952"/>
      <c r="EGV49" s="952"/>
      <c r="EGW49" s="952"/>
      <c r="EGX49" s="952"/>
      <c r="EGY49" s="952"/>
      <c r="EGZ49" s="952"/>
      <c r="EHA49" s="952"/>
      <c r="EHB49" s="952"/>
      <c r="EHC49" s="952"/>
      <c r="EHD49" s="952"/>
      <c r="EHE49" s="952"/>
      <c r="EHF49" s="952"/>
      <c r="EHG49" s="952"/>
      <c r="EHH49" s="952"/>
      <c r="EHI49" s="952"/>
      <c r="EHJ49" s="952"/>
      <c r="EHK49" s="952"/>
      <c r="EHL49" s="952"/>
      <c r="EHM49" s="952"/>
      <c r="EHN49" s="952"/>
      <c r="EHO49" s="952"/>
      <c r="EHP49" s="952"/>
      <c r="EHQ49" s="952"/>
      <c r="EHR49" s="952"/>
      <c r="EHS49" s="952"/>
      <c r="EHT49" s="952"/>
      <c r="EHU49" s="952"/>
      <c r="EHV49" s="952"/>
      <c r="EHW49" s="952"/>
      <c r="EHX49" s="952"/>
      <c r="EHY49" s="952"/>
      <c r="EHZ49" s="952"/>
      <c r="EIA49" s="952"/>
      <c r="EIB49" s="952"/>
      <c r="EIC49" s="952"/>
      <c r="EID49" s="952"/>
      <c r="EIE49" s="952"/>
      <c r="EIF49" s="952"/>
      <c r="EIG49" s="952"/>
      <c r="EIH49" s="952"/>
      <c r="EII49" s="952"/>
      <c r="EIJ49" s="952"/>
      <c r="EIK49" s="952"/>
      <c r="EIL49" s="952"/>
      <c r="EIM49" s="952"/>
      <c r="EIN49" s="952"/>
      <c r="EIO49" s="952"/>
      <c r="EIP49" s="952"/>
      <c r="EIQ49" s="952"/>
      <c r="EIR49" s="952"/>
      <c r="EIS49" s="952"/>
      <c r="EIT49" s="952"/>
      <c r="EIU49" s="952"/>
      <c r="EIV49" s="952"/>
      <c r="EIW49" s="952"/>
      <c r="EIX49" s="952"/>
      <c r="EIY49" s="952"/>
      <c r="EIZ49" s="952"/>
      <c r="EJA49" s="952"/>
      <c r="EJB49" s="952"/>
      <c r="EJC49" s="952"/>
      <c r="EJD49" s="952"/>
      <c r="EJE49" s="952"/>
      <c r="EJF49" s="952"/>
      <c r="EJG49" s="952"/>
      <c r="EJH49" s="952"/>
      <c r="EJI49" s="952"/>
      <c r="EJJ49" s="952"/>
      <c r="EJK49" s="952"/>
      <c r="EJL49" s="952"/>
      <c r="EJM49" s="952"/>
      <c r="EJN49" s="952"/>
      <c r="EJO49" s="952"/>
      <c r="EJP49" s="952"/>
      <c r="EJQ49" s="952"/>
      <c r="EJR49" s="952"/>
      <c r="EJS49" s="952"/>
      <c r="EJT49" s="952"/>
      <c r="EJU49" s="952"/>
      <c r="EJV49" s="952"/>
      <c r="EJW49" s="952"/>
      <c r="EJX49" s="952"/>
      <c r="EJY49" s="952"/>
      <c r="EJZ49" s="952"/>
      <c r="EKA49" s="952"/>
      <c r="EKB49" s="952"/>
      <c r="EKC49" s="952"/>
      <c r="EKD49" s="952"/>
      <c r="EKE49" s="952"/>
      <c r="EKF49" s="952"/>
      <c r="EKG49" s="952"/>
      <c r="EKH49" s="952"/>
      <c r="EKI49" s="952"/>
      <c r="EKJ49" s="952"/>
      <c r="EKK49" s="952"/>
      <c r="EKL49" s="952"/>
      <c r="EKM49" s="952"/>
      <c r="EKN49" s="952"/>
      <c r="EKO49" s="952"/>
      <c r="EKP49" s="952"/>
      <c r="EKQ49" s="952"/>
      <c r="EKR49" s="952"/>
      <c r="EKS49" s="952"/>
      <c r="EKT49" s="952"/>
      <c r="EKU49" s="952"/>
      <c r="EKV49" s="952"/>
      <c r="EKW49" s="952"/>
      <c r="EKX49" s="952"/>
      <c r="EKY49" s="952"/>
      <c r="EKZ49" s="952"/>
      <c r="ELA49" s="952"/>
      <c r="ELB49" s="952"/>
      <c r="ELC49" s="952"/>
      <c r="ELD49" s="952"/>
      <c r="ELE49" s="952"/>
      <c r="ELF49" s="952"/>
      <c r="ELG49" s="952"/>
      <c r="ELH49" s="952"/>
      <c r="ELI49" s="952"/>
      <c r="ELJ49" s="952"/>
      <c r="ELK49" s="952"/>
      <c r="ELL49" s="952"/>
      <c r="ELM49" s="952"/>
      <c r="ELN49" s="952"/>
      <c r="ELO49" s="952"/>
      <c r="ELP49" s="952"/>
      <c r="ELQ49" s="952"/>
      <c r="ELR49" s="952"/>
      <c r="ELS49" s="952"/>
      <c r="ELT49" s="952"/>
      <c r="ELU49" s="952"/>
      <c r="ELV49" s="952"/>
      <c r="ELW49" s="952"/>
      <c r="ELX49" s="952"/>
      <c r="ELY49" s="952"/>
      <c r="ELZ49" s="952"/>
      <c r="EMA49" s="952"/>
      <c r="EMB49" s="952"/>
      <c r="EMC49" s="952"/>
      <c r="EMD49" s="952"/>
      <c r="EME49" s="952"/>
      <c r="EMF49" s="952"/>
      <c r="EMG49" s="952"/>
      <c r="EMH49" s="952"/>
      <c r="EMI49" s="952"/>
      <c r="EMJ49" s="952"/>
      <c r="EMK49" s="952"/>
      <c r="EML49" s="952"/>
      <c r="EMM49" s="952"/>
      <c r="EMN49" s="952"/>
      <c r="EMO49" s="952"/>
      <c r="EMP49" s="952"/>
      <c r="EMQ49" s="952"/>
      <c r="EMR49" s="952"/>
      <c r="EMS49" s="952"/>
      <c r="EMT49" s="952"/>
      <c r="EMU49" s="952"/>
      <c r="EMV49" s="952"/>
      <c r="EMW49" s="952"/>
      <c r="EMX49" s="952"/>
      <c r="EMY49" s="952"/>
      <c r="EMZ49" s="952"/>
      <c r="ENA49" s="952"/>
      <c r="ENB49" s="952"/>
      <c r="ENC49" s="952"/>
      <c r="END49" s="952"/>
      <c r="ENE49" s="952"/>
      <c r="ENF49" s="952"/>
      <c r="ENG49" s="952"/>
      <c r="ENH49" s="952"/>
      <c r="ENI49" s="952"/>
      <c r="ENJ49" s="952"/>
      <c r="ENK49" s="952"/>
      <c r="ENL49" s="952"/>
      <c r="ENM49" s="952"/>
      <c r="ENN49" s="952"/>
      <c r="ENO49" s="952"/>
      <c r="ENP49" s="952"/>
      <c r="ENQ49" s="952"/>
      <c r="ENR49" s="952"/>
      <c r="ENS49" s="952"/>
      <c r="ENT49" s="952"/>
      <c r="ENU49" s="952"/>
      <c r="ENV49" s="952"/>
      <c r="ENW49" s="952"/>
      <c r="ENX49" s="952"/>
      <c r="ENY49" s="952"/>
      <c r="ENZ49" s="952"/>
      <c r="EOA49" s="952"/>
      <c r="EOB49" s="952"/>
      <c r="EOC49" s="952"/>
      <c r="EOD49" s="952"/>
      <c r="EOE49" s="952"/>
      <c r="EOF49" s="952"/>
      <c r="EOG49" s="952"/>
      <c r="EOH49" s="952"/>
      <c r="EOI49" s="952"/>
      <c r="EOJ49" s="952"/>
      <c r="EOK49" s="952"/>
      <c r="EOL49" s="952"/>
      <c r="EOM49" s="952"/>
      <c r="EON49" s="952"/>
      <c r="EOO49" s="952"/>
      <c r="EOP49" s="952"/>
      <c r="EOQ49" s="952"/>
      <c r="EOR49" s="952"/>
      <c r="EOS49" s="952"/>
      <c r="EOT49" s="952"/>
      <c r="EOU49" s="952"/>
      <c r="EOV49" s="952"/>
      <c r="EOW49" s="952"/>
      <c r="EOX49" s="952"/>
      <c r="EOY49" s="952"/>
      <c r="EOZ49" s="952"/>
      <c r="EPA49" s="952"/>
      <c r="EPB49" s="952"/>
      <c r="EPC49" s="952"/>
      <c r="EPD49" s="952"/>
      <c r="EPE49" s="952"/>
      <c r="EPF49" s="952"/>
      <c r="EPG49" s="952"/>
      <c r="EPH49" s="952"/>
      <c r="EPI49" s="952"/>
      <c r="EPJ49" s="952"/>
      <c r="EPK49" s="952"/>
      <c r="EPL49" s="952"/>
      <c r="EPM49" s="952"/>
      <c r="EPN49" s="952"/>
      <c r="EPO49" s="952"/>
      <c r="EPP49" s="952"/>
      <c r="EPQ49" s="952"/>
      <c r="EPR49" s="952"/>
      <c r="EPS49" s="952"/>
      <c r="EPT49" s="952"/>
      <c r="EPU49" s="952"/>
      <c r="EPV49" s="952"/>
      <c r="EPW49" s="952"/>
      <c r="EPX49" s="952"/>
      <c r="EPY49" s="952"/>
      <c r="EPZ49" s="952"/>
      <c r="EQA49" s="952"/>
      <c r="EQB49" s="952"/>
      <c r="EQC49" s="952"/>
      <c r="EQD49" s="952"/>
      <c r="EQE49" s="952"/>
      <c r="EQF49" s="952"/>
      <c r="EQG49" s="952"/>
      <c r="EQH49" s="952"/>
      <c r="EQI49" s="952"/>
      <c r="EQJ49" s="952"/>
      <c r="EQK49" s="952"/>
      <c r="EQL49" s="952"/>
      <c r="EQM49" s="952"/>
      <c r="EQN49" s="952"/>
      <c r="EQO49" s="952"/>
      <c r="EQP49" s="952"/>
      <c r="EQQ49" s="952"/>
      <c r="EQR49" s="952"/>
      <c r="EQS49" s="952"/>
      <c r="EQT49" s="952"/>
      <c r="EQU49" s="952"/>
      <c r="EQV49" s="952"/>
      <c r="EQW49" s="952"/>
      <c r="EQX49" s="952"/>
      <c r="EQY49" s="952"/>
      <c r="EQZ49" s="952"/>
      <c r="ERA49" s="952"/>
      <c r="ERB49" s="952"/>
      <c r="ERC49" s="952"/>
      <c r="ERD49" s="952"/>
      <c r="ERE49" s="952"/>
      <c r="ERF49" s="952"/>
      <c r="ERG49" s="952"/>
      <c r="ERH49" s="952"/>
      <c r="ERI49" s="952"/>
      <c r="ERJ49" s="952"/>
      <c r="ERK49" s="952"/>
      <c r="ERL49" s="952"/>
      <c r="ERM49" s="952"/>
      <c r="ERN49" s="952"/>
      <c r="ERO49" s="952"/>
      <c r="ERP49" s="952"/>
      <c r="ERQ49" s="952"/>
      <c r="ERR49" s="952"/>
      <c r="ERS49" s="952"/>
      <c r="ERT49" s="952"/>
      <c r="ERU49" s="952"/>
      <c r="ERV49" s="952"/>
      <c r="ERW49" s="952"/>
      <c r="ERX49" s="952"/>
      <c r="ERY49" s="952"/>
      <c r="ERZ49" s="952"/>
      <c r="ESA49" s="952"/>
      <c r="ESB49" s="952"/>
      <c r="ESC49" s="952"/>
      <c r="ESD49" s="952"/>
      <c r="ESE49" s="952"/>
      <c r="ESF49" s="952"/>
      <c r="ESG49" s="952"/>
      <c r="ESH49" s="952"/>
      <c r="ESI49" s="952"/>
      <c r="ESJ49" s="952"/>
      <c r="ESK49" s="952"/>
      <c r="ESL49" s="952"/>
      <c r="ESM49" s="952"/>
      <c r="ESN49" s="952"/>
      <c r="ESO49" s="952"/>
      <c r="ESP49" s="952"/>
      <c r="ESQ49" s="952"/>
      <c r="ESR49" s="952"/>
      <c r="ESS49" s="952"/>
      <c r="EST49" s="952"/>
      <c r="ESU49" s="952"/>
      <c r="ESV49" s="952"/>
      <c r="ESW49" s="952"/>
      <c r="ESX49" s="952"/>
      <c r="ESY49" s="952"/>
      <c r="ESZ49" s="952"/>
      <c r="ETA49" s="952"/>
      <c r="ETB49" s="952"/>
      <c r="ETC49" s="952"/>
      <c r="ETD49" s="952"/>
      <c r="ETE49" s="952"/>
      <c r="ETF49" s="952"/>
      <c r="ETG49" s="952"/>
      <c r="ETH49" s="952"/>
      <c r="ETI49" s="952"/>
      <c r="ETJ49" s="952"/>
      <c r="ETK49" s="952"/>
      <c r="ETL49" s="952"/>
      <c r="ETM49" s="952"/>
      <c r="ETN49" s="952"/>
      <c r="ETO49" s="952"/>
      <c r="ETP49" s="952"/>
      <c r="ETQ49" s="952"/>
      <c r="ETR49" s="952"/>
      <c r="ETS49" s="952"/>
      <c r="ETT49" s="952"/>
      <c r="ETU49" s="952"/>
      <c r="ETV49" s="952"/>
      <c r="ETW49" s="952"/>
      <c r="ETX49" s="952"/>
      <c r="ETY49" s="952"/>
      <c r="ETZ49" s="952"/>
      <c r="EUA49" s="952"/>
      <c r="EUB49" s="952"/>
      <c r="EUC49" s="952"/>
      <c r="EUD49" s="952"/>
      <c r="EUE49" s="952"/>
      <c r="EUF49" s="952"/>
      <c r="EUG49" s="952"/>
      <c r="EUH49" s="952"/>
      <c r="EUI49" s="952"/>
      <c r="EUJ49" s="952"/>
      <c r="EUK49" s="952"/>
      <c r="EUL49" s="952"/>
      <c r="EUM49" s="952"/>
      <c r="EUN49" s="952"/>
      <c r="EUO49" s="952"/>
      <c r="EUP49" s="952"/>
      <c r="EUQ49" s="952"/>
      <c r="EUR49" s="952"/>
      <c r="EUS49" s="952"/>
      <c r="EUT49" s="952"/>
      <c r="EUU49" s="952"/>
      <c r="EUV49" s="952"/>
      <c r="EUW49" s="952"/>
      <c r="EUX49" s="952"/>
      <c r="EUY49" s="952"/>
      <c r="EUZ49" s="952"/>
      <c r="EVA49" s="952"/>
      <c r="EVB49" s="952"/>
      <c r="EVC49" s="952"/>
      <c r="EVD49" s="952"/>
      <c r="EVE49" s="952"/>
      <c r="EVF49" s="952"/>
      <c r="EVG49" s="952"/>
      <c r="EVH49" s="952"/>
      <c r="EVI49" s="952"/>
      <c r="EVJ49" s="952"/>
      <c r="EVK49" s="952"/>
      <c r="EVL49" s="952"/>
      <c r="EVM49" s="952"/>
      <c r="EVN49" s="952"/>
      <c r="EVO49" s="952"/>
      <c r="EVP49" s="952"/>
      <c r="EVQ49" s="952"/>
      <c r="EVR49" s="952"/>
      <c r="EVS49" s="952"/>
      <c r="EVT49" s="952"/>
      <c r="EVU49" s="952"/>
      <c r="EVV49" s="952"/>
      <c r="EVW49" s="952"/>
      <c r="EVX49" s="952"/>
      <c r="EVY49" s="952"/>
      <c r="EVZ49" s="952"/>
      <c r="EWA49" s="952"/>
      <c r="EWB49" s="952"/>
      <c r="EWC49" s="952"/>
      <c r="EWD49" s="952"/>
      <c r="EWE49" s="952"/>
      <c r="EWF49" s="952"/>
      <c r="EWG49" s="952"/>
      <c r="EWH49" s="952"/>
      <c r="EWI49" s="952"/>
      <c r="EWJ49" s="952"/>
      <c r="EWK49" s="952"/>
      <c r="EWL49" s="952"/>
      <c r="EWM49" s="952"/>
      <c r="EWN49" s="952"/>
      <c r="EWO49" s="952"/>
      <c r="EWP49" s="952"/>
      <c r="EWQ49" s="952"/>
      <c r="EWR49" s="952"/>
      <c r="EWS49" s="952"/>
      <c r="EWT49" s="952"/>
      <c r="EWU49" s="952"/>
      <c r="EWV49" s="952"/>
      <c r="EWW49" s="952"/>
      <c r="EWX49" s="952"/>
      <c r="EWY49" s="952"/>
      <c r="EWZ49" s="952"/>
      <c r="EXA49" s="952"/>
      <c r="EXB49" s="952"/>
      <c r="EXC49" s="952"/>
      <c r="EXD49" s="952"/>
      <c r="EXE49" s="952"/>
      <c r="EXF49" s="952"/>
      <c r="EXG49" s="952"/>
      <c r="EXH49" s="952"/>
      <c r="EXI49" s="952"/>
      <c r="EXJ49" s="952"/>
      <c r="EXK49" s="952"/>
      <c r="EXL49" s="952"/>
      <c r="EXM49" s="952"/>
      <c r="EXN49" s="952"/>
      <c r="EXO49" s="952"/>
      <c r="EXP49" s="952"/>
      <c r="EXQ49" s="952"/>
      <c r="EXR49" s="952"/>
      <c r="EXS49" s="952"/>
      <c r="EXT49" s="952"/>
      <c r="EXU49" s="952"/>
      <c r="EXV49" s="952"/>
      <c r="EXW49" s="952"/>
      <c r="EXX49" s="952"/>
      <c r="EXY49" s="952"/>
      <c r="EXZ49" s="952"/>
      <c r="EYA49" s="952"/>
      <c r="EYB49" s="952"/>
      <c r="EYC49" s="952"/>
      <c r="EYD49" s="952"/>
      <c r="EYE49" s="952"/>
      <c r="EYF49" s="952"/>
      <c r="EYG49" s="952"/>
      <c r="EYH49" s="952"/>
      <c r="EYI49" s="952"/>
      <c r="EYJ49" s="952"/>
      <c r="EYK49" s="952"/>
      <c r="EYL49" s="952"/>
      <c r="EYM49" s="952"/>
      <c r="EYN49" s="952"/>
      <c r="EYO49" s="952"/>
      <c r="EYP49" s="952"/>
      <c r="EYQ49" s="952"/>
      <c r="EYR49" s="952"/>
      <c r="EYS49" s="952"/>
      <c r="EYT49" s="952"/>
      <c r="EYU49" s="952"/>
      <c r="EYV49" s="952"/>
      <c r="EYW49" s="952"/>
      <c r="EYX49" s="952"/>
      <c r="EYY49" s="952"/>
      <c r="EYZ49" s="952"/>
      <c r="EZA49" s="952"/>
      <c r="EZB49" s="952"/>
      <c r="EZC49" s="952"/>
      <c r="EZD49" s="952"/>
      <c r="EZE49" s="952"/>
      <c r="EZF49" s="952"/>
      <c r="EZG49" s="952"/>
      <c r="EZH49" s="952"/>
      <c r="EZI49" s="952"/>
      <c r="EZJ49" s="952"/>
      <c r="EZK49" s="952"/>
      <c r="EZL49" s="952"/>
      <c r="EZM49" s="952"/>
      <c r="EZN49" s="952"/>
      <c r="EZO49" s="952"/>
      <c r="EZP49" s="952"/>
      <c r="EZQ49" s="952"/>
      <c r="EZR49" s="952"/>
      <c r="EZS49" s="952"/>
      <c r="EZT49" s="952"/>
      <c r="EZU49" s="952"/>
      <c r="EZV49" s="952"/>
      <c r="EZW49" s="952"/>
      <c r="EZX49" s="952"/>
      <c r="EZY49" s="952"/>
      <c r="EZZ49" s="952"/>
      <c r="FAA49" s="952"/>
      <c r="FAB49" s="952"/>
      <c r="FAC49" s="952"/>
      <c r="FAD49" s="952"/>
      <c r="FAE49" s="952"/>
      <c r="FAF49" s="952"/>
      <c r="FAG49" s="952"/>
      <c r="FAH49" s="952"/>
      <c r="FAI49" s="952"/>
      <c r="FAJ49" s="952"/>
      <c r="FAK49" s="952"/>
      <c r="FAL49" s="952"/>
      <c r="FAM49" s="952"/>
      <c r="FAN49" s="952"/>
      <c r="FAO49" s="952"/>
      <c r="FAP49" s="952"/>
      <c r="FAQ49" s="952"/>
      <c r="FAR49" s="952"/>
      <c r="FAS49" s="952"/>
      <c r="FAT49" s="952"/>
      <c r="FAU49" s="952"/>
      <c r="FAV49" s="952"/>
      <c r="FAW49" s="952"/>
      <c r="FAX49" s="952"/>
      <c r="FAY49" s="952"/>
      <c r="FAZ49" s="952"/>
      <c r="FBA49" s="952"/>
      <c r="FBB49" s="952"/>
      <c r="FBC49" s="952"/>
      <c r="FBD49" s="952"/>
      <c r="FBE49" s="952"/>
      <c r="FBF49" s="952"/>
      <c r="FBG49" s="952"/>
      <c r="FBH49" s="952"/>
      <c r="FBI49" s="952"/>
      <c r="FBJ49" s="952"/>
      <c r="FBK49" s="952"/>
      <c r="FBL49" s="952"/>
      <c r="FBM49" s="952"/>
      <c r="FBN49" s="952"/>
      <c r="FBO49" s="952"/>
      <c r="FBP49" s="952"/>
      <c r="FBQ49" s="952"/>
      <c r="FBR49" s="952"/>
      <c r="FBS49" s="952"/>
      <c r="FBT49" s="952"/>
      <c r="FBU49" s="952"/>
      <c r="FBV49" s="952"/>
      <c r="FBW49" s="952"/>
      <c r="FBX49" s="952"/>
      <c r="FBY49" s="952"/>
      <c r="FBZ49" s="952"/>
      <c r="FCA49" s="952"/>
      <c r="FCB49" s="952"/>
      <c r="FCC49" s="952"/>
      <c r="FCD49" s="952"/>
      <c r="FCE49" s="952"/>
      <c r="FCF49" s="952"/>
      <c r="FCG49" s="952"/>
      <c r="FCH49" s="952"/>
      <c r="FCI49" s="952"/>
      <c r="FCJ49" s="952"/>
      <c r="FCK49" s="952"/>
      <c r="FCL49" s="952"/>
      <c r="FCM49" s="952"/>
      <c r="FCN49" s="952"/>
      <c r="FCO49" s="952"/>
      <c r="FCP49" s="952"/>
      <c r="FCQ49" s="952"/>
      <c r="FCR49" s="952"/>
      <c r="FCS49" s="952"/>
      <c r="FCT49" s="952"/>
      <c r="FCU49" s="952"/>
      <c r="FCV49" s="952"/>
      <c r="FCW49" s="952"/>
      <c r="FCX49" s="952"/>
      <c r="FCY49" s="952"/>
      <c r="FCZ49" s="952"/>
      <c r="FDA49" s="952"/>
      <c r="FDB49" s="952"/>
      <c r="FDC49" s="952"/>
      <c r="FDD49" s="952"/>
      <c r="FDE49" s="952"/>
      <c r="FDF49" s="952"/>
      <c r="FDG49" s="952"/>
      <c r="FDH49" s="952"/>
      <c r="FDI49" s="952"/>
      <c r="FDJ49" s="952"/>
      <c r="FDK49" s="952"/>
      <c r="FDL49" s="952"/>
      <c r="FDM49" s="952"/>
      <c r="FDN49" s="952"/>
      <c r="FDO49" s="952"/>
      <c r="FDP49" s="952"/>
      <c r="FDQ49" s="952"/>
      <c r="FDR49" s="952"/>
      <c r="FDS49" s="952"/>
      <c r="FDT49" s="952"/>
      <c r="FDU49" s="952"/>
      <c r="FDV49" s="952"/>
      <c r="FDW49" s="952"/>
      <c r="FDX49" s="952"/>
      <c r="FDY49" s="952"/>
      <c r="FDZ49" s="952"/>
      <c r="FEA49" s="952"/>
      <c r="FEB49" s="952"/>
      <c r="FEC49" s="952"/>
      <c r="FED49" s="952"/>
      <c r="FEE49" s="952"/>
      <c r="FEF49" s="952"/>
      <c r="FEG49" s="952"/>
      <c r="FEH49" s="952"/>
      <c r="FEI49" s="952"/>
      <c r="FEJ49" s="952"/>
      <c r="FEK49" s="952"/>
      <c r="FEL49" s="952"/>
      <c r="FEM49" s="952"/>
      <c r="FEN49" s="952"/>
      <c r="FEO49" s="952"/>
      <c r="FEP49" s="952"/>
      <c r="FEQ49" s="952"/>
      <c r="FER49" s="952"/>
      <c r="FES49" s="952"/>
      <c r="FET49" s="952"/>
      <c r="FEU49" s="952"/>
      <c r="FEV49" s="952"/>
      <c r="FEW49" s="952"/>
      <c r="FEX49" s="952"/>
      <c r="FEY49" s="952"/>
      <c r="FEZ49" s="952"/>
      <c r="FFA49" s="952"/>
      <c r="FFB49" s="952"/>
      <c r="FFC49" s="952"/>
      <c r="FFD49" s="952"/>
      <c r="FFE49" s="952"/>
      <c r="FFF49" s="952"/>
      <c r="FFG49" s="952"/>
      <c r="FFH49" s="952"/>
      <c r="FFI49" s="952"/>
      <c r="FFJ49" s="952"/>
      <c r="FFK49" s="952"/>
      <c r="FFL49" s="952"/>
      <c r="FFM49" s="952"/>
      <c r="FFN49" s="952"/>
      <c r="FFO49" s="952"/>
      <c r="FFP49" s="952"/>
      <c r="FFQ49" s="952"/>
      <c r="FFR49" s="952"/>
      <c r="FFS49" s="952"/>
      <c r="FFT49" s="952"/>
      <c r="FFU49" s="952"/>
      <c r="FFV49" s="952"/>
      <c r="FFW49" s="952"/>
      <c r="FFX49" s="952"/>
      <c r="FFY49" s="952"/>
      <c r="FFZ49" s="952"/>
      <c r="FGA49" s="952"/>
      <c r="FGB49" s="952"/>
      <c r="FGC49" s="952"/>
      <c r="FGD49" s="952"/>
      <c r="FGE49" s="952"/>
      <c r="FGF49" s="952"/>
      <c r="FGG49" s="952"/>
      <c r="FGH49" s="952"/>
      <c r="FGI49" s="952"/>
      <c r="FGJ49" s="952"/>
      <c r="FGK49" s="952"/>
      <c r="FGL49" s="952"/>
      <c r="FGM49" s="952"/>
      <c r="FGN49" s="952"/>
      <c r="FGO49" s="952"/>
      <c r="FGP49" s="952"/>
      <c r="FGQ49" s="952"/>
      <c r="FGR49" s="952"/>
      <c r="FGS49" s="952"/>
      <c r="FGT49" s="952"/>
      <c r="FGU49" s="952"/>
      <c r="FGV49" s="952"/>
      <c r="FGW49" s="952"/>
      <c r="FGX49" s="952"/>
      <c r="FGY49" s="952"/>
      <c r="FGZ49" s="952"/>
      <c r="FHA49" s="952"/>
      <c r="FHB49" s="952"/>
      <c r="FHC49" s="952"/>
      <c r="FHD49" s="952"/>
      <c r="FHE49" s="952"/>
      <c r="FHF49" s="952"/>
      <c r="FHG49" s="952"/>
      <c r="FHH49" s="952"/>
      <c r="FHI49" s="952"/>
      <c r="FHJ49" s="952"/>
      <c r="FHK49" s="952"/>
      <c r="FHL49" s="952"/>
      <c r="FHM49" s="952"/>
      <c r="FHN49" s="952"/>
      <c r="FHO49" s="952"/>
      <c r="FHP49" s="952"/>
      <c r="FHQ49" s="952"/>
      <c r="FHR49" s="952"/>
      <c r="FHS49" s="952"/>
      <c r="FHT49" s="952"/>
      <c r="FHU49" s="952"/>
      <c r="FHV49" s="952"/>
      <c r="FHW49" s="952"/>
      <c r="FHX49" s="952"/>
      <c r="FHY49" s="952"/>
      <c r="FHZ49" s="952"/>
      <c r="FIA49" s="952"/>
      <c r="FIB49" s="952"/>
      <c r="FIC49" s="952"/>
      <c r="FID49" s="952"/>
      <c r="FIE49" s="952"/>
      <c r="FIF49" s="952"/>
      <c r="FIG49" s="952"/>
      <c r="FIH49" s="952"/>
      <c r="FII49" s="952"/>
      <c r="FIJ49" s="952"/>
      <c r="FIK49" s="952"/>
      <c r="FIL49" s="952"/>
      <c r="FIM49" s="952"/>
      <c r="FIN49" s="952"/>
      <c r="FIO49" s="952"/>
      <c r="FIP49" s="952"/>
      <c r="FIQ49" s="952"/>
      <c r="FIR49" s="952"/>
      <c r="FIS49" s="952"/>
      <c r="FIT49" s="952"/>
      <c r="FIU49" s="952"/>
      <c r="FIV49" s="952"/>
      <c r="FIW49" s="952"/>
      <c r="FIX49" s="952"/>
      <c r="FIY49" s="952"/>
      <c r="FIZ49" s="952"/>
      <c r="FJA49" s="952"/>
      <c r="FJB49" s="952"/>
      <c r="FJC49" s="952"/>
      <c r="FJD49" s="952"/>
      <c r="FJE49" s="952"/>
      <c r="FJF49" s="952"/>
      <c r="FJG49" s="952"/>
      <c r="FJH49" s="952"/>
      <c r="FJI49" s="952"/>
      <c r="FJJ49" s="952"/>
      <c r="FJK49" s="952"/>
      <c r="FJL49" s="952"/>
      <c r="FJM49" s="952"/>
      <c r="FJN49" s="952"/>
      <c r="FJO49" s="952"/>
      <c r="FJP49" s="952"/>
      <c r="FJQ49" s="952"/>
      <c r="FJR49" s="952"/>
      <c r="FJS49" s="952"/>
      <c r="FJT49" s="952"/>
      <c r="FJU49" s="952"/>
      <c r="FJV49" s="952"/>
      <c r="FJW49" s="952"/>
      <c r="FJX49" s="952"/>
      <c r="FJY49" s="952"/>
      <c r="FJZ49" s="952"/>
      <c r="FKA49" s="952"/>
      <c r="FKB49" s="952"/>
      <c r="FKC49" s="952"/>
      <c r="FKD49" s="952"/>
      <c r="FKE49" s="952"/>
      <c r="FKF49" s="952"/>
      <c r="FKG49" s="952"/>
      <c r="FKH49" s="952"/>
      <c r="FKI49" s="952"/>
      <c r="FKJ49" s="952"/>
      <c r="FKK49" s="952"/>
      <c r="FKL49" s="952"/>
      <c r="FKM49" s="952"/>
      <c r="FKN49" s="952"/>
      <c r="FKO49" s="952"/>
      <c r="FKP49" s="952"/>
      <c r="FKQ49" s="952"/>
      <c r="FKR49" s="952"/>
      <c r="FKS49" s="952"/>
      <c r="FKT49" s="952"/>
      <c r="FKU49" s="952"/>
      <c r="FKV49" s="952"/>
      <c r="FKW49" s="952"/>
      <c r="FKX49" s="952"/>
      <c r="FKY49" s="952"/>
      <c r="FKZ49" s="952"/>
      <c r="FLA49" s="952"/>
      <c r="FLB49" s="952"/>
      <c r="FLC49" s="952"/>
      <c r="FLD49" s="952"/>
      <c r="FLE49" s="952"/>
      <c r="FLF49" s="952"/>
      <c r="FLG49" s="952"/>
      <c r="FLH49" s="952"/>
      <c r="FLI49" s="952"/>
      <c r="FLJ49" s="952"/>
      <c r="FLK49" s="952"/>
      <c r="FLL49" s="952"/>
      <c r="FLM49" s="952"/>
      <c r="FLN49" s="952"/>
      <c r="FLO49" s="952"/>
      <c r="FLP49" s="952"/>
      <c r="FLQ49" s="952"/>
      <c r="FLR49" s="952"/>
      <c r="FLS49" s="952"/>
      <c r="FLT49" s="952"/>
      <c r="FLU49" s="952"/>
      <c r="FLV49" s="952"/>
      <c r="FLW49" s="952"/>
      <c r="FLX49" s="952"/>
      <c r="FLY49" s="952"/>
      <c r="FLZ49" s="952"/>
      <c r="FMA49" s="952"/>
      <c r="FMB49" s="952"/>
      <c r="FMC49" s="952"/>
      <c r="FMD49" s="952"/>
      <c r="FME49" s="952"/>
      <c r="FMF49" s="952"/>
      <c r="FMG49" s="952"/>
      <c r="FMH49" s="952"/>
      <c r="FMI49" s="952"/>
      <c r="FMJ49" s="952"/>
      <c r="FMK49" s="952"/>
      <c r="FML49" s="952"/>
      <c r="FMM49" s="952"/>
      <c r="FMN49" s="952"/>
      <c r="FMO49" s="952"/>
      <c r="FMP49" s="952"/>
      <c r="FMQ49" s="952"/>
      <c r="FMR49" s="952"/>
      <c r="FMS49" s="952"/>
      <c r="FMT49" s="952"/>
      <c r="FMU49" s="952"/>
      <c r="FMV49" s="952"/>
      <c r="FMW49" s="952"/>
      <c r="FMX49" s="952"/>
      <c r="FMY49" s="952"/>
      <c r="FMZ49" s="952"/>
      <c r="FNA49" s="952"/>
      <c r="FNB49" s="952"/>
      <c r="FNC49" s="952"/>
      <c r="FND49" s="952"/>
      <c r="FNE49" s="952"/>
      <c r="FNF49" s="952"/>
      <c r="FNG49" s="952"/>
      <c r="FNH49" s="952"/>
      <c r="FNI49" s="952"/>
      <c r="FNJ49" s="952"/>
      <c r="FNK49" s="952"/>
      <c r="FNL49" s="952"/>
      <c r="FNM49" s="952"/>
      <c r="FNN49" s="952"/>
      <c r="FNO49" s="952"/>
      <c r="FNP49" s="952"/>
      <c r="FNQ49" s="952"/>
      <c r="FNR49" s="952"/>
      <c r="FNS49" s="952"/>
      <c r="FNT49" s="952"/>
      <c r="FNU49" s="952"/>
      <c r="FNV49" s="952"/>
      <c r="FNW49" s="952"/>
      <c r="FNX49" s="952"/>
      <c r="FNY49" s="952"/>
      <c r="FNZ49" s="952"/>
      <c r="FOA49" s="952"/>
      <c r="FOB49" s="952"/>
      <c r="FOC49" s="952"/>
      <c r="FOD49" s="952"/>
      <c r="FOE49" s="952"/>
      <c r="FOF49" s="952"/>
      <c r="FOG49" s="952"/>
      <c r="FOH49" s="952"/>
      <c r="FOI49" s="952"/>
      <c r="FOJ49" s="952"/>
      <c r="FOK49" s="952"/>
      <c r="FOL49" s="952"/>
      <c r="FOM49" s="952"/>
      <c r="FON49" s="952"/>
      <c r="FOO49" s="952"/>
      <c r="FOP49" s="952"/>
      <c r="FOQ49" s="952"/>
      <c r="FOR49" s="952"/>
      <c r="FOS49" s="952"/>
      <c r="FOT49" s="952"/>
      <c r="FOU49" s="952"/>
      <c r="FOV49" s="952"/>
      <c r="FOW49" s="952"/>
      <c r="FOX49" s="952"/>
      <c r="FOY49" s="952"/>
      <c r="FOZ49" s="952"/>
      <c r="FPA49" s="952"/>
      <c r="FPB49" s="952"/>
      <c r="FPC49" s="952"/>
      <c r="FPD49" s="952"/>
      <c r="FPE49" s="952"/>
      <c r="FPF49" s="952"/>
      <c r="FPG49" s="952"/>
      <c r="FPH49" s="952"/>
      <c r="FPI49" s="952"/>
      <c r="FPJ49" s="952"/>
      <c r="FPK49" s="952"/>
      <c r="FPL49" s="952"/>
      <c r="FPM49" s="952"/>
      <c r="FPN49" s="952"/>
      <c r="FPO49" s="952"/>
      <c r="FPP49" s="952"/>
      <c r="FPQ49" s="952"/>
      <c r="FPR49" s="952"/>
      <c r="FPS49" s="952"/>
      <c r="FPT49" s="952"/>
      <c r="FPU49" s="952"/>
      <c r="FPV49" s="952"/>
      <c r="FPW49" s="952"/>
      <c r="FPX49" s="952"/>
      <c r="FPY49" s="952"/>
      <c r="FPZ49" s="952"/>
      <c r="FQA49" s="952"/>
      <c r="FQB49" s="952"/>
      <c r="FQC49" s="952"/>
      <c r="FQD49" s="952"/>
      <c r="FQE49" s="952"/>
      <c r="FQF49" s="952"/>
      <c r="FQG49" s="952"/>
      <c r="FQH49" s="952"/>
      <c r="FQI49" s="952"/>
      <c r="FQJ49" s="952"/>
      <c r="FQK49" s="952"/>
      <c r="FQL49" s="952"/>
      <c r="FQM49" s="952"/>
      <c r="FQN49" s="952"/>
      <c r="FQO49" s="952"/>
      <c r="FQP49" s="952"/>
      <c r="FQQ49" s="952"/>
      <c r="FQR49" s="952"/>
      <c r="FQS49" s="952"/>
      <c r="FQT49" s="952"/>
      <c r="FQU49" s="952"/>
      <c r="FQV49" s="952"/>
      <c r="FQW49" s="952"/>
      <c r="FQX49" s="952"/>
      <c r="FQY49" s="952"/>
      <c r="FQZ49" s="952"/>
      <c r="FRA49" s="952"/>
      <c r="FRB49" s="952"/>
      <c r="FRC49" s="952"/>
      <c r="FRD49" s="952"/>
      <c r="FRE49" s="952"/>
      <c r="FRF49" s="952"/>
      <c r="FRG49" s="952"/>
      <c r="FRH49" s="952"/>
      <c r="FRI49" s="952"/>
      <c r="FRJ49" s="952"/>
      <c r="FRK49" s="952"/>
      <c r="FRL49" s="952"/>
      <c r="FRM49" s="952"/>
      <c r="FRN49" s="952"/>
      <c r="FRO49" s="952"/>
      <c r="FRP49" s="952"/>
      <c r="FRQ49" s="952"/>
      <c r="FRR49" s="952"/>
      <c r="FRS49" s="952"/>
      <c r="FRT49" s="952"/>
      <c r="FRU49" s="952"/>
      <c r="FRV49" s="952"/>
      <c r="FRW49" s="952"/>
      <c r="FRX49" s="952"/>
      <c r="FRY49" s="952"/>
      <c r="FRZ49" s="952"/>
      <c r="FSA49" s="952"/>
      <c r="FSB49" s="952"/>
      <c r="FSC49" s="952"/>
      <c r="FSD49" s="952"/>
      <c r="FSE49" s="952"/>
      <c r="FSF49" s="952"/>
      <c r="FSG49" s="952"/>
      <c r="FSH49" s="952"/>
      <c r="FSI49" s="952"/>
      <c r="FSJ49" s="952"/>
      <c r="FSK49" s="952"/>
      <c r="FSL49" s="952"/>
      <c r="FSM49" s="952"/>
      <c r="FSN49" s="952"/>
      <c r="FSO49" s="952"/>
      <c r="FSP49" s="952"/>
      <c r="FSQ49" s="952"/>
      <c r="FSR49" s="952"/>
      <c r="FSS49" s="952"/>
      <c r="FST49" s="952"/>
      <c r="FSU49" s="952"/>
      <c r="FSV49" s="952"/>
      <c r="FSW49" s="952"/>
      <c r="FSX49" s="952"/>
      <c r="FSY49" s="952"/>
      <c r="FSZ49" s="952"/>
      <c r="FTA49" s="952"/>
      <c r="FTB49" s="952"/>
      <c r="FTC49" s="952"/>
      <c r="FTD49" s="952"/>
      <c r="FTE49" s="952"/>
      <c r="FTF49" s="952"/>
      <c r="FTG49" s="952"/>
      <c r="FTH49" s="952"/>
      <c r="FTI49" s="952"/>
      <c r="FTJ49" s="952"/>
      <c r="FTK49" s="952"/>
      <c r="FTL49" s="952"/>
      <c r="FTM49" s="952"/>
      <c r="FTN49" s="952"/>
      <c r="FTO49" s="952"/>
      <c r="FTP49" s="952"/>
      <c r="FTQ49" s="952"/>
      <c r="FTR49" s="952"/>
      <c r="FTS49" s="952"/>
      <c r="FTT49" s="952"/>
      <c r="FTU49" s="952"/>
      <c r="FTV49" s="952"/>
      <c r="FTW49" s="952"/>
      <c r="FTX49" s="952"/>
      <c r="FTY49" s="952"/>
      <c r="FTZ49" s="952"/>
      <c r="FUA49" s="952"/>
      <c r="FUB49" s="952"/>
      <c r="FUC49" s="952"/>
      <c r="FUD49" s="952"/>
      <c r="FUE49" s="952"/>
      <c r="FUF49" s="952"/>
      <c r="FUG49" s="952"/>
      <c r="FUH49" s="952"/>
      <c r="FUI49" s="952"/>
      <c r="FUJ49" s="952"/>
      <c r="FUK49" s="952"/>
      <c r="FUL49" s="952"/>
      <c r="FUM49" s="952"/>
      <c r="FUN49" s="952"/>
      <c r="FUO49" s="952"/>
      <c r="FUP49" s="952"/>
      <c r="FUQ49" s="952"/>
      <c r="FUR49" s="952"/>
      <c r="FUS49" s="952"/>
      <c r="FUT49" s="952"/>
      <c r="FUU49" s="952"/>
      <c r="FUV49" s="952"/>
      <c r="FUW49" s="952"/>
      <c r="FUX49" s="952"/>
      <c r="FUY49" s="952"/>
      <c r="FUZ49" s="952"/>
      <c r="FVA49" s="952"/>
      <c r="FVB49" s="952"/>
      <c r="FVC49" s="952"/>
      <c r="FVD49" s="952"/>
      <c r="FVE49" s="952"/>
      <c r="FVF49" s="952"/>
      <c r="FVG49" s="952"/>
      <c r="FVH49" s="952"/>
      <c r="FVI49" s="952"/>
      <c r="FVJ49" s="952"/>
      <c r="FVK49" s="952"/>
      <c r="FVL49" s="952"/>
      <c r="FVM49" s="952"/>
      <c r="FVN49" s="952"/>
      <c r="FVO49" s="952"/>
      <c r="FVP49" s="952"/>
      <c r="FVQ49" s="952"/>
      <c r="FVR49" s="952"/>
      <c r="FVS49" s="952"/>
      <c r="FVT49" s="952"/>
      <c r="FVU49" s="952"/>
      <c r="FVV49" s="952"/>
      <c r="FVW49" s="952"/>
      <c r="FVX49" s="952"/>
      <c r="FVY49" s="952"/>
      <c r="FVZ49" s="952"/>
      <c r="FWA49" s="952"/>
      <c r="FWB49" s="952"/>
      <c r="FWC49" s="952"/>
      <c r="FWD49" s="952"/>
      <c r="FWE49" s="952"/>
      <c r="FWF49" s="952"/>
      <c r="FWG49" s="952"/>
      <c r="FWH49" s="952"/>
      <c r="FWI49" s="952"/>
      <c r="FWJ49" s="952"/>
      <c r="FWK49" s="952"/>
      <c r="FWL49" s="952"/>
      <c r="FWM49" s="952"/>
      <c r="FWN49" s="952"/>
      <c r="FWO49" s="952"/>
      <c r="FWP49" s="952"/>
      <c r="FWQ49" s="952"/>
      <c r="FWR49" s="952"/>
      <c r="FWS49" s="952"/>
      <c r="FWT49" s="952"/>
      <c r="FWU49" s="952"/>
      <c r="FWV49" s="952"/>
      <c r="FWW49" s="952"/>
      <c r="FWX49" s="952"/>
      <c r="FWY49" s="952"/>
      <c r="FWZ49" s="952"/>
      <c r="FXA49" s="952"/>
      <c r="FXB49" s="952"/>
      <c r="FXC49" s="952"/>
      <c r="FXD49" s="952"/>
      <c r="FXE49" s="952"/>
      <c r="FXF49" s="952"/>
      <c r="FXG49" s="952"/>
      <c r="FXH49" s="952"/>
      <c r="FXI49" s="952"/>
      <c r="FXJ49" s="952"/>
      <c r="FXK49" s="952"/>
      <c r="FXL49" s="952"/>
      <c r="FXM49" s="952"/>
      <c r="FXN49" s="952"/>
      <c r="FXO49" s="952"/>
      <c r="FXP49" s="952"/>
      <c r="FXQ49" s="952"/>
      <c r="FXR49" s="952"/>
      <c r="FXS49" s="952"/>
      <c r="FXT49" s="952"/>
      <c r="FXU49" s="952"/>
      <c r="FXV49" s="952"/>
      <c r="FXW49" s="952"/>
      <c r="FXX49" s="952"/>
      <c r="FXY49" s="952"/>
      <c r="FXZ49" s="952"/>
      <c r="FYA49" s="952"/>
      <c r="FYB49" s="952"/>
      <c r="FYC49" s="952"/>
      <c r="FYD49" s="952"/>
      <c r="FYE49" s="952"/>
      <c r="FYF49" s="952"/>
      <c r="FYG49" s="952"/>
      <c r="FYH49" s="952"/>
      <c r="FYI49" s="952"/>
      <c r="FYJ49" s="952"/>
      <c r="FYK49" s="952"/>
      <c r="FYL49" s="952"/>
      <c r="FYM49" s="952"/>
      <c r="FYN49" s="952"/>
      <c r="FYO49" s="952"/>
      <c r="FYP49" s="952"/>
      <c r="FYQ49" s="952"/>
      <c r="FYR49" s="952"/>
      <c r="FYS49" s="952"/>
      <c r="FYT49" s="952"/>
      <c r="FYU49" s="952"/>
      <c r="FYV49" s="952"/>
      <c r="FYW49" s="952"/>
      <c r="FYX49" s="952"/>
      <c r="FYY49" s="952"/>
      <c r="FYZ49" s="952"/>
      <c r="FZA49" s="952"/>
      <c r="FZB49" s="952"/>
      <c r="FZC49" s="952"/>
      <c r="FZD49" s="952"/>
      <c r="FZE49" s="952"/>
      <c r="FZF49" s="952"/>
      <c r="FZG49" s="952"/>
      <c r="FZH49" s="952"/>
      <c r="FZI49" s="952"/>
      <c r="FZJ49" s="952"/>
      <c r="FZK49" s="952"/>
      <c r="FZL49" s="952"/>
      <c r="FZM49" s="952"/>
      <c r="FZN49" s="952"/>
      <c r="FZO49" s="952"/>
      <c r="FZP49" s="952"/>
      <c r="FZQ49" s="952"/>
      <c r="FZR49" s="952"/>
      <c r="FZS49" s="952"/>
      <c r="FZT49" s="952"/>
      <c r="FZU49" s="952"/>
      <c r="FZV49" s="952"/>
      <c r="FZW49" s="952"/>
      <c r="FZX49" s="952"/>
      <c r="FZY49" s="952"/>
      <c r="FZZ49" s="952"/>
      <c r="GAA49" s="952"/>
      <c r="GAB49" s="952"/>
      <c r="GAC49" s="952"/>
      <c r="GAD49" s="952"/>
      <c r="GAE49" s="952"/>
      <c r="GAF49" s="952"/>
      <c r="GAG49" s="952"/>
      <c r="GAH49" s="952"/>
      <c r="GAI49" s="952"/>
      <c r="GAJ49" s="952"/>
      <c r="GAK49" s="952"/>
      <c r="GAL49" s="952"/>
      <c r="GAM49" s="952"/>
      <c r="GAN49" s="952"/>
      <c r="GAO49" s="952"/>
      <c r="GAP49" s="952"/>
      <c r="GAQ49" s="952"/>
      <c r="GAR49" s="952"/>
      <c r="GAS49" s="952"/>
      <c r="GAT49" s="952"/>
      <c r="GAU49" s="952"/>
      <c r="GAV49" s="952"/>
      <c r="GAW49" s="952"/>
      <c r="GAX49" s="952"/>
      <c r="GAY49" s="952"/>
      <c r="GAZ49" s="952"/>
      <c r="GBA49" s="952"/>
      <c r="GBB49" s="952"/>
      <c r="GBC49" s="952"/>
      <c r="GBD49" s="952"/>
      <c r="GBE49" s="952"/>
      <c r="GBF49" s="952"/>
      <c r="GBG49" s="952"/>
      <c r="GBH49" s="952"/>
      <c r="GBI49" s="952"/>
      <c r="GBJ49" s="952"/>
      <c r="GBK49" s="952"/>
      <c r="GBL49" s="952"/>
      <c r="GBM49" s="952"/>
      <c r="GBN49" s="952"/>
      <c r="GBO49" s="952"/>
      <c r="GBP49" s="952"/>
      <c r="GBQ49" s="952"/>
      <c r="GBR49" s="952"/>
      <c r="GBS49" s="952"/>
      <c r="GBT49" s="952"/>
      <c r="GBU49" s="952"/>
      <c r="GBV49" s="952"/>
      <c r="GBW49" s="952"/>
      <c r="GBX49" s="952"/>
      <c r="GBY49" s="952"/>
      <c r="GBZ49" s="952"/>
      <c r="GCA49" s="952"/>
      <c r="GCB49" s="952"/>
      <c r="GCC49" s="952"/>
      <c r="GCD49" s="952"/>
      <c r="GCE49" s="952"/>
      <c r="GCF49" s="952"/>
      <c r="GCG49" s="952"/>
      <c r="GCH49" s="952"/>
      <c r="GCI49" s="952"/>
      <c r="GCJ49" s="952"/>
      <c r="GCK49" s="952"/>
      <c r="GCL49" s="952"/>
      <c r="GCM49" s="952"/>
      <c r="GCN49" s="952"/>
      <c r="GCO49" s="952"/>
      <c r="GCP49" s="952"/>
      <c r="GCQ49" s="952"/>
      <c r="GCR49" s="952"/>
      <c r="GCS49" s="952"/>
      <c r="GCT49" s="952"/>
      <c r="GCU49" s="952"/>
      <c r="GCV49" s="952"/>
      <c r="GCW49" s="952"/>
      <c r="GCX49" s="952"/>
      <c r="GCY49" s="952"/>
      <c r="GCZ49" s="952"/>
      <c r="GDA49" s="952"/>
      <c r="GDB49" s="952"/>
      <c r="GDC49" s="952"/>
      <c r="GDD49" s="952"/>
      <c r="GDE49" s="952"/>
      <c r="GDF49" s="952"/>
      <c r="GDG49" s="952"/>
      <c r="GDH49" s="952"/>
      <c r="GDI49" s="952"/>
      <c r="GDJ49" s="952"/>
      <c r="GDK49" s="952"/>
      <c r="GDL49" s="952"/>
      <c r="GDM49" s="952"/>
      <c r="GDN49" s="952"/>
      <c r="GDO49" s="952"/>
      <c r="GDP49" s="952"/>
      <c r="GDQ49" s="952"/>
      <c r="GDR49" s="952"/>
      <c r="GDS49" s="952"/>
      <c r="GDT49" s="952"/>
      <c r="GDU49" s="952"/>
      <c r="GDV49" s="952"/>
      <c r="GDW49" s="952"/>
      <c r="GDX49" s="952"/>
      <c r="GDY49" s="952"/>
      <c r="GDZ49" s="952"/>
      <c r="GEA49" s="952"/>
      <c r="GEB49" s="952"/>
      <c r="GEC49" s="952"/>
      <c r="GED49" s="952"/>
      <c r="GEE49" s="952"/>
      <c r="GEF49" s="952"/>
      <c r="GEG49" s="952"/>
      <c r="GEH49" s="952"/>
      <c r="GEI49" s="952"/>
      <c r="GEJ49" s="952"/>
      <c r="GEK49" s="952"/>
      <c r="GEL49" s="952"/>
      <c r="GEM49" s="952"/>
      <c r="GEN49" s="952"/>
      <c r="GEO49" s="952"/>
      <c r="GEP49" s="952"/>
      <c r="GEQ49" s="952"/>
      <c r="GER49" s="952"/>
      <c r="GES49" s="952"/>
      <c r="GET49" s="952"/>
      <c r="GEU49" s="952"/>
      <c r="GEV49" s="952"/>
      <c r="GEW49" s="952"/>
      <c r="GEX49" s="952"/>
      <c r="GEY49" s="952"/>
      <c r="GEZ49" s="952"/>
      <c r="GFA49" s="952"/>
      <c r="GFB49" s="952"/>
      <c r="GFC49" s="952"/>
      <c r="GFD49" s="952"/>
      <c r="GFE49" s="952"/>
      <c r="GFF49" s="952"/>
      <c r="GFG49" s="952"/>
      <c r="GFH49" s="952"/>
      <c r="GFI49" s="952"/>
      <c r="GFJ49" s="952"/>
      <c r="GFK49" s="952"/>
      <c r="GFL49" s="952"/>
      <c r="GFM49" s="952"/>
      <c r="GFN49" s="952"/>
      <c r="GFO49" s="952"/>
      <c r="GFP49" s="952"/>
      <c r="GFQ49" s="952"/>
      <c r="GFR49" s="952"/>
      <c r="GFS49" s="952"/>
      <c r="GFT49" s="952"/>
      <c r="GFU49" s="952"/>
      <c r="GFV49" s="952"/>
      <c r="GFW49" s="952"/>
      <c r="GFX49" s="952"/>
      <c r="GFY49" s="952"/>
      <c r="GFZ49" s="952"/>
      <c r="GGA49" s="952"/>
      <c r="GGB49" s="952"/>
      <c r="GGC49" s="952"/>
      <c r="GGD49" s="952"/>
      <c r="GGE49" s="952"/>
      <c r="GGF49" s="952"/>
      <c r="GGG49" s="952"/>
      <c r="GGH49" s="952"/>
      <c r="GGI49" s="952"/>
      <c r="GGJ49" s="952"/>
      <c r="GGK49" s="952"/>
      <c r="GGL49" s="952"/>
      <c r="GGM49" s="952"/>
      <c r="GGN49" s="952"/>
      <c r="GGO49" s="952"/>
      <c r="GGP49" s="952"/>
      <c r="GGQ49" s="952"/>
      <c r="GGR49" s="952"/>
      <c r="GGS49" s="952"/>
      <c r="GGT49" s="952"/>
      <c r="GGU49" s="952"/>
      <c r="GGV49" s="952"/>
      <c r="GGW49" s="952"/>
      <c r="GGX49" s="952"/>
      <c r="GGY49" s="952"/>
      <c r="GGZ49" s="952"/>
      <c r="GHA49" s="952"/>
      <c r="GHB49" s="952"/>
      <c r="GHC49" s="952"/>
      <c r="GHD49" s="952"/>
      <c r="GHE49" s="952"/>
      <c r="GHF49" s="952"/>
      <c r="GHG49" s="952"/>
      <c r="GHH49" s="952"/>
      <c r="GHI49" s="952"/>
      <c r="GHJ49" s="952"/>
      <c r="GHK49" s="952"/>
      <c r="GHL49" s="952"/>
      <c r="GHM49" s="952"/>
      <c r="GHN49" s="952"/>
      <c r="GHO49" s="952"/>
      <c r="GHP49" s="952"/>
      <c r="GHQ49" s="952"/>
      <c r="GHR49" s="952"/>
      <c r="GHS49" s="952"/>
      <c r="GHT49" s="952"/>
      <c r="GHU49" s="952"/>
      <c r="GHV49" s="952"/>
      <c r="GHW49" s="952"/>
      <c r="GHX49" s="952"/>
      <c r="GHY49" s="952"/>
      <c r="GHZ49" s="952"/>
      <c r="GIA49" s="952"/>
      <c r="GIB49" s="952"/>
      <c r="GIC49" s="952"/>
      <c r="GID49" s="952"/>
      <c r="GIE49" s="952"/>
      <c r="GIF49" s="952"/>
      <c r="GIG49" s="952"/>
      <c r="GIH49" s="952"/>
      <c r="GII49" s="952"/>
      <c r="GIJ49" s="952"/>
      <c r="GIK49" s="952"/>
      <c r="GIL49" s="952"/>
      <c r="GIM49" s="952"/>
      <c r="GIN49" s="952"/>
      <c r="GIO49" s="952"/>
      <c r="GIP49" s="952"/>
      <c r="GIQ49" s="952"/>
      <c r="GIR49" s="952"/>
      <c r="GIS49" s="952"/>
      <c r="GIT49" s="952"/>
      <c r="GIU49" s="952"/>
      <c r="GIV49" s="952"/>
      <c r="GIW49" s="952"/>
      <c r="GIX49" s="952"/>
      <c r="GIY49" s="952"/>
      <c r="GIZ49" s="952"/>
      <c r="GJA49" s="952"/>
      <c r="GJB49" s="952"/>
      <c r="GJC49" s="952"/>
      <c r="GJD49" s="952"/>
      <c r="GJE49" s="952"/>
      <c r="GJF49" s="952"/>
      <c r="GJG49" s="952"/>
      <c r="GJH49" s="952"/>
      <c r="GJI49" s="952"/>
      <c r="GJJ49" s="952"/>
      <c r="GJK49" s="952"/>
      <c r="GJL49" s="952"/>
      <c r="GJM49" s="952"/>
      <c r="GJN49" s="952"/>
      <c r="GJO49" s="952"/>
      <c r="GJP49" s="952"/>
      <c r="GJQ49" s="952"/>
      <c r="GJR49" s="952"/>
      <c r="GJS49" s="952"/>
      <c r="GJT49" s="952"/>
      <c r="GJU49" s="952"/>
      <c r="GJV49" s="952"/>
      <c r="GJW49" s="952"/>
      <c r="GJX49" s="952"/>
      <c r="GJY49" s="952"/>
      <c r="GJZ49" s="952"/>
      <c r="GKA49" s="952"/>
      <c r="GKB49" s="952"/>
      <c r="GKC49" s="952"/>
      <c r="GKD49" s="952"/>
      <c r="GKE49" s="952"/>
      <c r="GKF49" s="952"/>
      <c r="GKG49" s="952"/>
      <c r="GKH49" s="952"/>
      <c r="GKI49" s="952"/>
      <c r="GKJ49" s="952"/>
      <c r="GKK49" s="952"/>
      <c r="GKL49" s="952"/>
      <c r="GKM49" s="952"/>
      <c r="GKN49" s="952"/>
      <c r="GKO49" s="952"/>
      <c r="GKP49" s="952"/>
      <c r="GKQ49" s="952"/>
      <c r="GKR49" s="952"/>
      <c r="GKS49" s="952"/>
      <c r="GKT49" s="952"/>
      <c r="GKU49" s="952"/>
      <c r="GKV49" s="952"/>
      <c r="GKW49" s="952"/>
      <c r="GKX49" s="952"/>
      <c r="GKY49" s="952"/>
      <c r="GKZ49" s="952"/>
      <c r="GLA49" s="952"/>
      <c r="GLB49" s="952"/>
      <c r="GLC49" s="952"/>
      <c r="GLD49" s="952"/>
      <c r="GLE49" s="952"/>
      <c r="GLF49" s="952"/>
      <c r="GLG49" s="952"/>
      <c r="GLH49" s="952"/>
      <c r="GLI49" s="952"/>
      <c r="GLJ49" s="952"/>
      <c r="GLK49" s="952"/>
      <c r="GLL49" s="952"/>
      <c r="GLM49" s="952"/>
      <c r="GLN49" s="952"/>
      <c r="GLO49" s="952"/>
      <c r="GLP49" s="952"/>
      <c r="GLQ49" s="952"/>
      <c r="GLR49" s="952"/>
      <c r="GLS49" s="952"/>
      <c r="GLT49" s="952"/>
      <c r="GLU49" s="952"/>
      <c r="GLV49" s="952"/>
      <c r="GLW49" s="952"/>
      <c r="GLX49" s="952"/>
      <c r="GLY49" s="952"/>
      <c r="GLZ49" s="952"/>
      <c r="GMA49" s="952"/>
      <c r="GMB49" s="952"/>
      <c r="GMC49" s="952"/>
      <c r="GMD49" s="952"/>
      <c r="GME49" s="952"/>
      <c r="GMF49" s="952"/>
      <c r="GMG49" s="952"/>
      <c r="GMH49" s="952"/>
      <c r="GMI49" s="952"/>
      <c r="GMJ49" s="952"/>
      <c r="GMK49" s="952"/>
      <c r="GML49" s="952"/>
      <c r="GMM49" s="952"/>
      <c r="GMN49" s="952"/>
      <c r="GMO49" s="952"/>
      <c r="GMP49" s="952"/>
      <c r="GMQ49" s="952"/>
      <c r="GMR49" s="952"/>
      <c r="GMS49" s="952"/>
      <c r="GMT49" s="952"/>
      <c r="GMU49" s="952"/>
      <c r="GMV49" s="952"/>
      <c r="GMW49" s="952"/>
      <c r="GMX49" s="952"/>
      <c r="GMY49" s="952"/>
      <c r="GMZ49" s="952"/>
      <c r="GNA49" s="952"/>
      <c r="GNB49" s="952"/>
      <c r="GNC49" s="952"/>
      <c r="GND49" s="952"/>
      <c r="GNE49" s="952"/>
      <c r="GNF49" s="952"/>
      <c r="GNG49" s="952"/>
      <c r="GNH49" s="952"/>
      <c r="GNI49" s="952"/>
      <c r="GNJ49" s="952"/>
      <c r="GNK49" s="952"/>
      <c r="GNL49" s="952"/>
      <c r="GNM49" s="952"/>
      <c r="GNN49" s="952"/>
      <c r="GNO49" s="952"/>
      <c r="GNP49" s="952"/>
      <c r="GNQ49" s="952"/>
      <c r="GNR49" s="952"/>
      <c r="GNS49" s="952"/>
      <c r="GNT49" s="952"/>
      <c r="GNU49" s="952"/>
      <c r="GNV49" s="952"/>
      <c r="GNW49" s="952"/>
      <c r="GNX49" s="952"/>
      <c r="GNY49" s="952"/>
      <c r="GNZ49" s="952"/>
      <c r="GOA49" s="952"/>
      <c r="GOB49" s="952"/>
      <c r="GOC49" s="952"/>
      <c r="GOD49" s="952"/>
      <c r="GOE49" s="952"/>
      <c r="GOF49" s="952"/>
      <c r="GOG49" s="952"/>
      <c r="GOH49" s="952"/>
      <c r="GOI49" s="952"/>
      <c r="GOJ49" s="952"/>
      <c r="GOK49" s="952"/>
      <c r="GOL49" s="952"/>
      <c r="GOM49" s="952"/>
      <c r="GON49" s="952"/>
      <c r="GOO49" s="952"/>
      <c r="GOP49" s="952"/>
      <c r="GOQ49" s="952"/>
      <c r="GOR49" s="952"/>
      <c r="GOS49" s="952"/>
      <c r="GOT49" s="952"/>
      <c r="GOU49" s="952"/>
      <c r="GOV49" s="952"/>
      <c r="GOW49" s="952"/>
      <c r="GOX49" s="952"/>
      <c r="GOY49" s="952"/>
      <c r="GOZ49" s="952"/>
      <c r="GPA49" s="952"/>
      <c r="GPB49" s="952"/>
      <c r="GPC49" s="952"/>
      <c r="GPD49" s="952"/>
      <c r="GPE49" s="952"/>
      <c r="GPF49" s="952"/>
      <c r="GPG49" s="952"/>
      <c r="GPH49" s="952"/>
      <c r="GPI49" s="952"/>
      <c r="GPJ49" s="952"/>
      <c r="GPK49" s="952"/>
      <c r="GPL49" s="952"/>
      <c r="GPM49" s="952"/>
      <c r="GPN49" s="952"/>
      <c r="GPO49" s="952"/>
      <c r="GPP49" s="952"/>
      <c r="GPQ49" s="952"/>
      <c r="GPR49" s="952"/>
      <c r="GPS49" s="952"/>
      <c r="GPT49" s="952"/>
      <c r="GPU49" s="952"/>
      <c r="GPV49" s="952"/>
      <c r="GPW49" s="952"/>
      <c r="GPX49" s="952"/>
      <c r="GPY49" s="952"/>
      <c r="GPZ49" s="952"/>
      <c r="GQA49" s="952"/>
      <c r="GQB49" s="952"/>
      <c r="GQC49" s="952"/>
      <c r="GQD49" s="952"/>
      <c r="GQE49" s="952"/>
      <c r="GQF49" s="952"/>
      <c r="GQG49" s="952"/>
      <c r="GQH49" s="952"/>
      <c r="GQI49" s="952"/>
      <c r="GQJ49" s="952"/>
      <c r="GQK49" s="952"/>
      <c r="GQL49" s="952"/>
      <c r="GQM49" s="952"/>
      <c r="GQN49" s="952"/>
      <c r="GQO49" s="952"/>
      <c r="GQP49" s="952"/>
      <c r="GQQ49" s="952"/>
      <c r="GQR49" s="952"/>
      <c r="GQS49" s="952"/>
      <c r="GQT49" s="952"/>
      <c r="GQU49" s="952"/>
      <c r="GQV49" s="952"/>
      <c r="GQW49" s="952"/>
      <c r="GQX49" s="952"/>
      <c r="GQY49" s="952"/>
      <c r="GQZ49" s="952"/>
      <c r="GRA49" s="952"/>
      <c r="GRB49" s="952"/>
      <c r="GRC49" s="952"/>
      <c r="GRD49" s="952"/>
      <c r="GRE49" s="952"/>
      <c r="GRF49" s="952"/>
      <c r="GRG49" s="952"/>
      <c r="GRH49" s="952"/>
      <c r="GRI49" s="952"/>
      <c r="GRJ49" s="952"/>
      <c r="GRK49" s="952"/>
      <c r="GRL49" s="952"/>
      <c r="GRM49" s="952"/>
      <c r="GRN49" s="952"/>
      <c r="GRO49" s="952"/>
      <c r="GRP49" s="952"/>
      <c r="GRQ49" s="952"/>
      <c r="GRR49" s="952"/>
      <c r="GRS49" s="952"/>
      <c r="GRT49" s="952"/>
      <c r="GRU49" s="952"/>
      <c r="GRV49" s="952"/>
      <c r="GRW49" s="952"/>
      <c r="GRX49" s="952"/>
      <c r="GRY49" s="952"/>
      <c r="GRZ49" s="952"/>
      <c r="GSA49" s="952"/>
      <c r="GSB49" s="952"/>
      <c r="GSC49" s="952"/>
      <c r="GSD49" s="952"/>
      <c r="GSE49" s="952"/>
      <c r="GSF49" s="952"/>
      <c r="GSG49" s="952"/>
      <c r="GSH49" s="952"/>
      <c r="GSI49" s="952"/>
      <c r="GSJ49" s="952"/>
      <c r="GSK49" s="952"/>
      <c r="GSL49" s="952"/>
      <c r="GSM49" s="952"/>
      <c r="GSN49" s="952"/>
      <c r="GSO49" s="952"/>
      <c r="GSP49" s="952"/>
      <c r="GSQ49" s="952"/>
      <c r="GSR49" s="952"/>
      <c r="GSS49" s="952"/>
      <c r="GST49" s="952"/>
      <c r="GSU49" s="952"/>
      <c r="GSV49" s="952"/>
      <c r="GSW49" s="952"/>
      <c r="GSX49" s="952"/>
      <c r="GSY49" s="952"/>
      <c r="GSZ49" s="952"/>
      <c r="GTA49" s="952"/>
      <c r="GTB49" s="952"/>
      <c r="GTC49" s="952"/>
      <c r="GTD49" s="952"/>
      <c r="GTE49" s="952"/>
      <c r="GTF49" s="952"/>
      <c r="GTG49" s="952"/>
      <c r="GTH49" s="952"/>
      <c r="GTI49" s="952"/>
      <c r="GTJ49" s="952"/>
      <c r="GTK49" s="952"/>
      <c r="GTL49" s="952"/>
      <c r="GTM49" s="952"/>
      <c r="GTN49" s="952"/>
      <c r="GTO49" s="952"/>
      <c r="GTP49" s="952"/>
      <c r="GTQ49" s="952"/>
      <c r="GTR49" s="952"/>
      <c r="GTS49" s="952"/>
      <c r="GTT49" s="952"/>
      <c r="GTU49" s="952"/>
      <c r="GTV49" s="952"/>
      <c r="GTW49" s="952"/>
      <c r="GTX49" s="952"/>
      <c r="GTY49" s="952"/>
      <c r="GTZ49" s="952"/>
      <c r="GUA49" s="952"/>
      <c r="GUB49" s="952"/>
      <c r="GUC49" s="952"/>
      <c r="GUD49" s="952"/>
      <c r="GUE49" s="952"/>
      <c r="GUF49" s="952"/>
      <c r="GUG49" s="952"/>
      <c r="GUH49" s="952"/>
      <c r="GUI49" s="952"/>
      <c r="GUJ49" s="952"/>
      <c r="GUK49" s="952"/>
      <c r="GUL49" s="952"/>
      <c r="GUM49" s="952"/>
      <c r="GUN49" s="952"/>
      <c r="GUO49" s="952"/>
      <c r="GUP49" s="952"/>
      <c r="GUQ49" s="952"/>
      <c r="GUR49" s="952"/>
      <c r="GUS49" s="952"/>
      <c r="GUT49" s="952"/>
      <c r="GUU49" s="952"/>
      <c r="GUV49" s="952"/>
      <c r="GUW49" s="952"/>
      <c r="GUX49" s="952"/>
      <c r="GUY49" s="952"/>
      <c r="GUZ49" s="952"/>
      <c r="GVA49" s="952"/>
      <c r="GVB49" s="952"/>
      <c r="GVC49" s="952"/>
      <c r="GVD49" s="952"/>
      <c r="GVE49" s="952"/>
      <c r="GVF49" s="952"/>
      <c r="GVG49" s="952"/>
      <c r="GVH49" s="952"/>
      <c r="GVI49" s="952"/>
      <c r="GVJ49" s="952"/>
      <c r="GVK49" s="952"/>
      <c r="GVL49" s="952"/>
      <c r="GVM49" s="952"/>
      <c r="GVN49" s="952"/>
      <c r="GVO49" s="952"/>
      <c r="GVP49" s="952"/>
      <c r="GVQ49" s="952"/>
      <c r="GVR49" s="952"/>
      <c r="GVS49" s="952"/>
      <c r="GVT49" s="952"/>
      <c r="GVU49" s="952"/>
      <c r="GVV49" s="952"/>
      <c r="GVW49" s="952"/>
      <c r="GVX49" s="952"/>
      <c r="GVY49" s="952"/>
      <c r="GVZ49" s="952"/>
      <c r="GWA49" s="952"/>
      <c r="GWB49" s="952"/>
      <c r="GWC49" s="952"/>
      <c r="GWD49" s="952"/>
      <c r="GWE49" s="952"/>
      <c r="GWF49" s="952"/>
      <c r="GWG49" s="952"/>
      <c r="GWH49" s="952"/>
      <c r="GWI49" s="952"/>
      <c r="GWJ49" s="952"/>
      <c r="GWK49" s="952"/>
      <c r="GWL49" s="952"/>
      <c r="GWM49" s="952"/>
      <c r="GWN49" s="952"/>
      <c r="GWO49" s="952"/>
      <c r="GWP49" s="952"/>
      <c r="GWQ49" s="952"/>
      <c r="GWR49" s="952"/>
      <c r="GWS49" s="952"/>
      <c r="GWT49" s="952"/>
      <c r="GWU49" s="952"/>
      <c r="GWV49" s="952"/>
      <c r="GWW49" s="952"/>
      <c r="GWX49" s="952"/>
      <c r="GWY49" s="952"/>
      <c r="GWZ49" s="952"/>
      <c r="GXA49" s="952"/>
      <c r="GXB49" s="952"/>
      <c r="GXC49" s="952"/>
      <c r="GXD49" s="952"/>
      <c r="GXE49" s="952"/>
      <c r="GXF49" s="952"/>
      <c r="GXG49" s="952"/>
      <c r="GXH49" s="952"/>
      <c r="GXI49" s="952"/>
      <c r="GXJ49" s="952"/>
      <c r="GXK49" s="952"/>
      <c r="GXL49" s="952"/>
      <c r="GXM49" s="952"/>
      <c r="GXN49" s="952"/>
      <c r="GXO49" s="952"/>
      <c r="GXP49" s="952"/>
      <c r="GXQ49" s="952"/>
      <c r="GXR49" s="952"/>
      <c r="GXS49" s="952"/>
      <c r="GXT49" s="952"/>
      <c r="GXU49" s="952"/>
      <c r="GXV49" s="952"/>
      <c r="GXW49" s="952"/>
      <c r="GXX49" s="952"/>
      <c r="GXY49" s="952"/>
      <c r="GXZ49" s="952"/>
      <c r="GYA49" s="952"/>
      <c r="GYB49" s="952"/>
      <c r="GYC49" s="952"/>
      <c r="GYD49" s="952"/>
      <c r="GYE49" s="952"/>
      <c r="GYF49" s="952"/>
      <c r="GYG49" s="952"/>
      <c r="GYH49" s="952"/>
      <c r="GYI49" s="952"/>
      <c r="GYJ49" s="952"/>
      <c r="GYK49" s="952"/>
      <c r="GYL49" s="952"/>
      <c r="GYM49" s="952"/>
      <c r="GYN49" s="952"/>
      <c r="GYO49" s="952"/>
      <c r="GYP49" s="952"/>
      <c r="GYQ49" s="952"/>
      <c r="GYR49" s="952"/>
      <c r="GYS49" s="952"/>
      <c r="GYT49" s="952"/>
      <c r="GYU49" s="952"/>
      <c r="GYV49" s="952"/>
      <c r="GYW49" s="952"/>
      <c r="GYX49" s="952"/>
      <c r="GYY49" s="952"/>
      <c r="GYZ49" s="952"/>
      <c r="GZA49" s="952"/>
      <c r="GZB49" s="952"/>
      <c r="GZC49" s="952"/>
      <c r="GZD49" s="952"/>
      <c r="GZE49" s="952"/>
      <c r="GZF49" s="952"/>
      <c r="GZG49" s="952"/>
      <c r="GZH49" s="952"/>
      <c r="GZI49" s="952"/>
      <c r="GZJ49" s="952"/>
      <c r="GZK49" s="952"/>
      <c r="GZL49" s="952"/>
      <c r="GZM49" s="952"/>
      <c r="GZN49" s="952"/>
      <c r="GZO49" s="952"/>
      <c r="GZP49" s="952"/>
      <c r="GZQ49" s="952"/>
      <c r="GZR49" s="952"/>
      <c r="GZS49" s="952"/>
      <c r="GZT49" s="952"/>
      <c r="GZU49" s="952"/>
      <c r="GZV49" s="952"/>
      <c r="GZW49" s="952"/>
      <c r="GZX49" s="952"/>
      <c r="GZY49" s="952"/>
      <c r="GZZ49" s="952"/>
      <c r="HAA49" s="952"/>
      <c r="HAB49" s="952"/>
      <c r="HAC49" s="952"/>
      <c r="HAD49" s="952"/>
      <c r="HAE49" s="952"/>
      <c r="HAF49" s="952"/>
      <c r="HAG49" s="952"/>
      <c r="HAH49" s="952"/>
      <c r="HAI49" s="952"/>
      <c r="HAJ49" s="952"/>
      <c r="HAK49" s="952"/>
      <c r="HAL49" s="952"/>
      <c r="HAM49" s="952"/>
      <c r="HAN49" s="952"/>
      <c r="HAO49" s="952"/>
      <c r="HAP49" s="952"/>
      <c r="HAQ49" s="952"/>
      <c r="HAR49" s="952"/>
      <c r="HAS49" s="952"/>
      <c r="HAT49" s="952"/>
      <c r="HAU49" s="952"/>
      <c r="HAV49" s="952"/>
      <c r="HAW49" s="952"/>
      <c r="HAX49" s="952"/>
      <c r="HAY49" s="952"/>
      <c r="HAZ49" s="952"/>
      <c r="HBA49" s="952"/>
      <c r="HBB49" s="952"/>
      <c r="HBC49" s="952"/>
      <c r="HBD49" s="952"/>
      <c r="HBE49" s="952"/>
      <c r="HBF49" s="952"/>
      <c r="HBG49" s="952"/>
      <c r="HBH49" s="952"/>
      <c r="HBI49" s="952"/>
      <c r="HBJ49" s="952"/>
      <c r="HBK49" s="952"/>
      <c r="HBL49" s="952"/>
      <c r="HBM49" s="952"/>
      <c r="HBN49" s="952"/>
      <c r="HBO49" s="952"/>
      <c r="HBP49" s="952"/>
      <c r="HBQ49" s="952"/>
      <c r="HBR49" s="952"/>
      <c r="HBS49" s="952"/>
      <c r="HBT49" s="952"/>
      <c r="HBU49" s="952"/>
      <c r="HBV49" s="952"/>
      <c r="HBW49" s="952"/>
      <c r="HBX49" s="952"/>
      <c r="HBY49" s="952"/>
      <c r="HBZ49" s="952"/>
      <c r="HCA49" s="952"/>
      <c r="HCB49" s="952"/>
      <c r="HCC49" s="952"/>
      <c r="HCD49" s="952"/>
      <c r="HCE49" s="952"/>
      <c r="HCF49" s="952"/>
      <c r="HCG49" s="952"/>
      <c r="HCH49" s="952"/>
      <c r="HCI49" s="952"/>
      <c r="HCJ49" s="952"/>
      <c r="HCK49" s="952"/>
      <c r="HCL49" s="952"/>
      <c r="HCM49" s="952"/>
      <c r="HCN49" s="952"/>
      <c r="HCO49" s="952"/>
      <c r="HCP49" s="952"/>
      <c r="HCQ49" s="952"/>
      <c r="HCR49" s="952"/>
      <c r="HCS49" s="952"/>
      <c r="HCT49" s="952"/>
      <c r="HCU49" s="952"/>
      <c r="HCV49" s="952"/>
      <c r="HCW49" s="952"/>
      <c r="HCX49" s="952"/>
      <c r="HCY49" s="952"/>
      <c r="HCZ49" s="952"/>
      <c r="HDA49" s="952"/>
      <c r="HDB49" s="952"/>
      <c r="HDC49" s="952"/>
      <c r="HDD49" s="952"/>
      <c r="HDE49" s="952"/>
      <c r="HDF49" s="952"/>
      <c r="HDG49" s="952"/>
      <c r="HDH49" s="952"/>
      <c r="HDI49" s="952"/>
      <c r="HDJ49" s="952"/>
      <c r="HDK49" s="952"/>
      <c r="HDL49" s="952"/>
      <c r="HDM49" s="952"/>
      <c r="HDN49" s="952"/>
      <c r="HDO49" s="952"/>
      <c r="HDP49" s="952"/>
      <c r="HDQ49" s="952"/>
      <c r="HDR49" s="952"/>
      <c r="HDS49" s="952"/>
      <c r="HDT49" s="952"/>
      <c r="HDU49" s="952"/>
      <c r="HDV49" s="952"/>
      <c r="HDW49" s="952"/>
      <c r="HDX49" s="952"/>
      <c r="HDY49" s="952"/>
      <c r="HDZ49" s="952"/>
      <c r="HEA49" s="952"/>
      <c r="HEB49" s="952"/>
      <c r="HEC49" s="952"/>
      <c r="HED49" s="952"/>
      <c r="HEE49" s="952"/>
      <c r="HEF49" s="952"/>
      <c r="HEG49" s="952"/>
      <c r="HEH49" s="952"/>
      <c r="HEI49" s="952"/>
      <c r="HEJ49" s="952"/>
      <c r="HEK49" s="952"/>
      <c r="HEL49" s="952"/>
      <c r="HEM49" s="952"/>
      <c r="HEN49" s="952"/>
      <c r="HEO49" s="952"/>
      <c r="HEP49" s="952"/>
      <c r="HEQ49" s="952"/>
      <c r="HER49" s="952"/>
      <c r="HES49" s="952"/>
      <c r="HET49" s="952"/>
      <c r="HEU49" s="952"/>
      <c r="HEV49" s="952"/>
      <c r="HEW49" s="952"/>
      <c r="HEX49" s="952"/>
      <c r="HEY49" s="952"/>
      <c r="HEZ49" s="952"/>
      <c r="HFA49" s="952"/>
      <c r="HFB49" s="952"/>
      <c r="HFC49" s="952"/>
      <c r="HFD49" s="952"/>
      <c r="HFE49" s="952"/>
      <c r="HFF49" s="952"/>
      <c r="HFG49" s="952"/>
      <c r="HFH49" s="952"/>
      <c r="HFI49" s="952"/>
      <c r="HFJ49" s="952"/>
      <c r="HFK49" s="952"/>
      <c r="HFL49" s="952"/>
      <c r="HFM49" s="952"/>
      <c r="HFN49" s="952"/>
      <c r="HFO49" s="952"/>
      <c r="HFP49" s="952"/>
      <c r="HFQ49" s="952"/>
      <c r="HFR49" s="952"/>
      <c r="HFS49" s="952"/>
      <c r="HFT49" s="952"/>
      <c r="HFU49" s="952"/>
      <c r="HFV49" s="952"/>
      <c r="HFW49" s="952"/>
      <c r="HFX49" s="952"/>
      <c r="HFY49" s="952"/>
      <c r="HFZ49" s="952"/>
      <c r="HGA49" s="952"/>
      <c r="HGB49" s="952"/>
      <c r="HGC49" s="952"/>
      <c r="HGD49" s="952"/>
      <c r="HGE49" s="952"/>
      <c r="HGF49" s="952"/>
      <c r="HGG49" s="952"/>
      <c r="HGH49" s="952"/>
      <c r="HGI49" s="952"/>
      <c r="HGJ49" s="952"/>
      <c r="HGK49" s="952"/>
      <c r="HGL49" s="952"/>
      <c r="HGM49" s="952"/>
      <c r="HGN49" s="952"/>
      <c r="HGO49" s="952"/>
      <c r="HGP49" s="952"/>
      <c r="HGQ49" s="952"/>
      <c r="HGR49" s="952"/>
      <c r="HGS49" s="952"/>
      <c r="HGT49" s="952"/>
      <c r="HGU49" s="952"/>
      <c r="HGV49" s="952"/>
      <c r="HGW49" s="952"/>
      <c r="HGX49" s="952"/>
      <c r="HGY49" s="952"/>
      <c r="HGZ49" s="952"/>
      <c r="HHA49" s="952"/>
      <c r="HHB49" s="952"/>
      <c r="HHC49" s="952"/>
      <c r="HHD49" s="952"/>
      <c r="HHE49" s="952"/>
      <c r="HHF49" s="952"/>
      <c r="HHG49" s="952"/>
      <c r="HHH49" s="952"/>
      <c r="HHI49" s="952"/>
      <c r="HHJ49" s="952"/>
      <c r="HHK49" s="952"/>
      <c r="HHL49" s="952"/>
      <c r="HHM49" s="952"/>
      <c r="HHN49" s="952"/>
      <c r="HHO49" s="952"/>
      <c r="HHP49" s="952"/>
      <c r="HHQ49" s="952"/>
      <c r="HHR49" s="952"/>
      <c r="HHS49" s="952"/>
      <c r="HHT49" s="952"/>
      <c r="HHU49" s="952"/>
      <c r="HHV49" s="952"/>
      <c r="HHW49" s="952"/>
      <c r="HHX49" s="952"/>
      <c r="HHY49" s="952"/>
      <c r="HHZ49" s="952"/>
      <c r="HIA49" s="952"/>
      <c r="HIB49" s="952"/>
      <c r="HIC49" s="952"/>
      <c r="HID49" s="952"/>
      <c r="HIE49" s="952"/>
      <c r="HIF49" s="952"/>
      <c r="HIG49" s="952"/>
      <c r="HIH49" s="952"/>
      <c r="HII49" s="952"/>
      <c r="HIJ49" s="952"/>
      <c r="HIK49" s="952"/>
      <c r="HIL49" s="952"/>
      <c r="HIM49" s="952"/>
      <c r="HIN49" s="952"/>
      <c r="HIO49" s="952"/>
      <c r="HIP49" s="952"/>
      <c r="HIQ49" s="952"/>
      <c r="HIR49" s="952"/>
      <c r="HIS49" s="952"/>
      <c r="HIT49" s="952"/>
      <c r="HIU49" s="952"/>
      <c r="HIV49" s="952"/>
      <c r="HIW49" s="952"/>
      <c r="HIX49" s="952"/>
      <c r="HIY49" s="952"/>
      <c r="HIZ49" s="952"/>
      <c r="HJA49" s="952"/>
      <c r="HJB49" s="952"/>
      <c r="HJC49" s="952"/>
      <c r="HJD49" s="952"/>
      <c r="HJE49" s="952"/>
      <c r="HJF49" s="952"/>
      <c r="HJG49" s="952"/>
      <c r="HJH49" s="952"/>
      <c r="HJI49" s="952"/>
      <c r="HJJ49" s="952"/>
      <c r="HJK49" s="952"/>
      <c r="HJL49" s="952"/>
      <c r="HJM49" s="952"/>
      <c r="HJN49" s="952"/>
      <c r="HJO49" s="952"/>
      <c r="HJP49" s="952"/>
      <c r="HJQ49" s="952"/>
      <c r="HJR49" s="952"/>
      <c r="HJS49" s="952"/>
      <c r="HJT49" s="952"/>
      <c r="HJU49" s="952"/>
      <c r="HJV49" s="952"/>
      <c r="HJW49" s="952"/>
      <c r="HJX49" s="952"/>
      <c r="HJY49" s="952"/>
      <c r="HJZ49" s="952"/>
      <c r="HKA49" s="952"/>
      <c r="HKB49" s="952"/>
      <c r="HKC49" s="952"/>
      <c r="HKD49" s="952"/>
      <c r="HKE49" s="952"/>
      <c r="HKF49" s="952"/>
      <c r="HKG49" s="952"/>
      <c r="HKH49" s="952"/>
      <c r="HKI49" s="952"/>
      <c r="HKJ49" s="952"/>
      <c r="HKK49" s="952"/>
      <c r="HKL49" s="952"/>
      <c r="HKM49" s="952"/>
      <c r="HKN49" s="952"/>
      <c r="HKO49" s="952"/>
      <c r="HKP49" s="952"/>
      <c r="HKQ49" s="952"/>
      <c r="HKR49" s="952"/>
      <c r="HKS49" s="952"/>
      <c r="HKT49" s="952"/>
      <c r="HKU49" s="952"/>
      <c r="HKV49" s="952"/>
      <c r="HKW49" s="952"/>
      <c r="HKX49" s="952"/>
      <c r="HKY49" s="952"/>
      <c r="HKZ49" s="952"/>
      <c r="HLA49" s="952"/>
      <c r="HLB49" s="952"/>
      <c r="HLC49" s="952"/>
      <c r="HLD49" s="952"/>
      <c r="HLE49" s="952"/>
      <c r="HLF49" s="952"/>
      <c r="HLG49" s="952"/>
      <c r="HLH49" s="952"/>
      <c r="HLI49" s="952"/>
      <c r="HLJ49" s="952"/>
      <c r="HLK49" s="952"/>
      <c r="HLL49" s="952"/>
      <c r="HLM49" s="952"/>
      <c r="HLN49" s="952"/>
      <c r="HLO49" s="952"/>
      <c r="HLP49" s="952"/>
      <c r="HLQ49" s="952"/>
      <c r="HLR49" s="952"/>
      <c r="HLS49" s="952"/>
      <c r="HLT49" s="952"/>
      <c r="HLU49" s="952"/>
      <c r="HLV49" s="952"/>
      <c r="HLW49" s="952"/>
      <c r="HLX49" s="952"/>
      <c r="HLY49" s="952"/>
      <c r="HLZ49" s="952"/>
      <c r="HMA49" s="952"/>
      <c r="HMB49" s="952"/>
      <c r="HMC49" s="952"/>
      <c r="HMD49" s="952"/>
      <c r="HME49" s="952"/>
      <c r="HMF49" s="952"/>
      <c r="HMG49" s="952"/>
      <c r="HMH49" s="952"/>
      <c r="HMI49" s="952"/>
      <c r="HMJ49" s="952"/>
      <c r="HMK49" s="952"/>
      <c r="HML49" s="952"/>
      <c r="HMM49" s="952"/>
      <c r="HMN49" s="952"/>
      <c r="HMO49" s="952"/>
      <c r="HMP49" s="952"/>
      <c r="HMQ49" s="952"/>
      <c r="HMR49" s="952"/>
      <c r="HMS49" s="952"/>
      <c r="HMT49" s="952"/>
      <c r="HMU49" s="952"/>
      <c r="HMV49" s="952"/>
      <c r="HMW49" s="952"/>
      <c r="HMX49" s="952"/>
      <c r="HMY49" s="952"/>
      <c r="HMZ49" s="952"/>
      <c r="HNA49" s="952"/>
      <c r="HNB49" s="952"/>
      <c r="HNC49" s="952"/>
      <c r="HND49" s="952"/>
      <c r="HNE49" s="952"/>
      <c r="HNF49" s="952"/>
      <c r="HNG49" s="952"/>
      <c r="HNH49" s="952"/>
      <c r="HNI49" s="952"/>
      <c r="HNJ49" s="952"/>
      <c r="HNK49" s="952"/>
      <c r="HNL49" s="952"/>
      <c r="HNM49" s="952"/>
      <c r="HNN49" s="952"/>
      <c r="HNO49" s="952"/>
      <c r="HNP49" s="952"/>
      <c r="HNQ49" s="952"/>
      <c r="HNR49" s="952"/>
      <c r="HNS49" s="952"/>
      <c r="HNT49" s="952"/>
      <c r="HNU49" s="952"/>
      <c r="HNV49" s="952"/>
      <c r="HNW49" s="952"/>
      <c r="HNX49" s="952"/>
      <c r="HNY49" s="952"/>
      <c r="HNZ49" s="952"/>
      <c r="HOA49" s="952"/>
      <c r="HOB49" s="952"/>
      <c r="HOC49" s="952"/>
      <c r="HOD49" s="952"/>
      <c r="HOE49" s="952"/>
      <c r="HOF49" s="952"/>
      <c r="HOG49" s="952"/>
      <c r="HOH49" s="952"/>
      <c r="HOI49" s="952"/>
      <c r="HOJ49" s="952"/>
      <c r="HOK49" s="952"/>
      <c r="HOL49" s="952"/>
      <c r="HOM49" s="952"/>
      <c r="HON49" s="952"/>
      <c r="HOO49" s="952"/>
      <c r="HOP49" s="952"/>
      <c r="HOQ49" s="952"/>
      <c r="HOR49" s="952"/>
      <c r="HOS49" s="952"/>
      <c r="HOT49" s="952"/>
      <c r="HOU49" s="952"/>
      <c r="HOV49" s="952"/>
      <c r="HOW49" s="952"/>
      <c r="HOX49" s="952"/>
      <c r="HOY49" s="952"/>
      <c r="HOZ49" s="952"/>
      <c r="HPA49" s="952"/>
      <c r="HPB49" s="952"/>
      <c r="HPC49" s="952"/>
      <c r="HPD49" s="952"/>
      <c r="HPE49" s="952"/>
      <c r="HPF49" s="952"/>
      <c r="HPG49" s="952"/>
      <c r="HPH49" s="952"/>
      <c r="HPI49" s="952"/>
      <c r="HPJ49" s="952"/>
      <c r="HPK49" s="952"/>
      <c r="HPL49" s="952"/>
      <c r="HPM49" s="952"/>
      <c r="HPN49" s="952"/>
      <c r="HPO49" s="952"/>
      <c r="HPP49" s="952"/>
      <c r="HPQ49" s="952"/>
      <c r="HPR49" s="952"/>
      <c r="HPS49" s="952"/>
      <c r="HPT49" s="952"/>
      <c r="HPU49" s="952"/>
      <c r="HPV49" s="952"/>
      <c r="HPW49" s="952"/>
      <c r="HPX49" s="952"/>
      <c r="HPY49" s="952"/>
      <c r="HPZ49" s="952"/>
      <c r="HQA49" s="952"/>
      <c r="HQB49" s="952"/>
      <c r="HQC49" s="952"/>
      <c r="HQD49" s="952"/>
      <c r="HQE49" s="952"/>
      <c r="HQF49" s="952"/>
      <c r="HQG49" s="952"/>
      <c r="HQH49" s="952"/>
      <c r="HQI49" s="952"/>
      <c r="HQJ49" s="952"/>
      <c r="HQK49" s="952"/>
      <c r="HQL49" s="952"/>
      <c r="HQM49" s="952"/>
      <c r="HQN49" s="952"/>
      <c r="HQO49" s="952"/>
      <c r="HQP49" s="952"/>
      <c r="HQQ49" s="952"/>
      <c r="HQR49" s="952"/>
      <c r="HQS49" s="952"/>
      <c r="HQT49" s="952"/>
      <c r="HQU49" s="952"/>
      <c r="HQV49" s="952"/>
      <c r="HQW49" s="952"/>
      <c r="HQX49" s="952"/>
      <c r="HQY49" s="952"/>
      <c r="HQZ49" s="952"/>
      <c r="HRA49" s="952"/>
      <c r="HRB49" s="952"/>
      <c r="HRC49" s="952"/>
      <c r="HRD49" s="952"/>
      <c r="HRE49" s="952"/>
      <c r="HRF49" s="952"/>
      <c r="HRG49" s="952"/>
      <c r="HRH49" s="952"/>
      <c r="HRI49" s="952"/>
      <c r="HRJ49" s="952"/>
      <c r="HRK49" s="952"/>
      <c r="HRL49" s="952"/>
      <c r="HRM49" s="952"/>
      <c r="HRN49" s="952"/>
      <c r="HRO49" s="952"/>
      <c r="HRP49" s="952"/>
      <c r="HRQ49" s="952"/>
      <c r="HRR49" s="952"/>
      <c r="HRS49" s="952"/>
      <c r="HRT49" s="952"/>
      <c r="HRU49" s="952"/>
      <c r="HRV49" s="952"/>
      <c r="HRW49" s="952"/>
      <c r="HRX49" s="952"/>
      <c r="HRY49" s="952"/>
      <c r="HRZ49" s="952"/>
      <c r="HSA49" s="952"/>
      <c r="HSB49" s="952"/>
      <c r="HSC49" s="952"/>
      <c r="HSD49" s="952"/>
      <c r="HSE49" s="952"/>
      <c r="HSF49" s="952"/>
      <c r="HSG49" s="952"/>
      <c r="HSH49" s="952"/>
      <c r="HSI49" s="952"/>
      <c r="HSJ49" s="952"/>
      <c r="HSK49" s="952"/>
      <c r="HSL49" s="952"/>
      <c r="HSM49" s="952"/>
      <c r="HSN49" s="952"/>
      <c r="HSO49" s="952"/>
      <c r="HSP49" s="952"/>
      <c r="HSQ49" s="952"/>
      <c r="HSR49" s="952"/>
      <c r="HSS49" s="952"/>
      <c r="HST49" s="952"/>
      <c r="HSU49" s="952"/>
      <c r="HSV49" s="952"/>
      <c r="HSW49" s="952"/>
      <c r="HSX49" s="952"/>
      <c r="HSY49" s="952"/>
      <c r="HSZ49" s="952"/>
      <c r="HTA49" s="952"/>
      <c r="HTB49" s="952"/>
      <c r="HTC49" s="952"/>
      <c r="HTD49" s="952"/>
      <c r="HTE49" s="952"/>
      <c r="HTF49" s="952"/>
      <c r="HTG49" s="952"/>
      <c r="HTH49" s="952"/>
      <c r="HTI49" s="952"/>
      <c r="HTJ49" s="952"/>
      <c r="HTK49" s="952"/>
      <c r="HTL49" s="952"/>
      <c r="HTM49" s="952"/>
      <c r="HTN49" s="952"/>
      <c r="HTO49" s="952"/>
      <c r="HTP49" s="952"/>
      <c r="HTQ49" s="952"/>
      <c r="HTR49" s="952"/>
      <c r="HTS49" s="952"/>
      <c r="HTT49" s="952"/>
      <c r="HTU49" s="952"/>
      <c r="HTV49" s="952"/>
      <c r="HTW49" s="952"/>
      <c r="HTX49" s="952"/>
      <c r="HTY49" s="952"/>
      <c r="HTZ49" s="952"/>
      <c r="HUA49" s="952"/>
      <c r="HUB49" s="952"/>
      <c r="HUC49" s="952"/>
      <c r="HUD49" s="952"/>
      <c r="HUE49" s="952"/>
      <c r="HUF49" s="952"/>
      <c r="HUG49" s="952"/>
      <c r="HUH49" s="952"/>
      <c r="HUI49" s="952"/>
      <c r="HUJ49" s="952"/>
      <c r="HUK49" s="952"/>
      <c r="HUL49" s="952"/>
      <c r="HUM49" s="952"/>
      <c r="HUN49" s="952"/>
      <c r="HUO49" s="952"/>
      <c r="HUP49" s="952"/>
      <c r="HUQ49" s="952"/>
      <c r="HUR49" s="952"/>
      <c r="HUS49" s="952"/>
      <c r="HUT49" s="952"/>
      <c r="HUU49" s="952"/>
      <c r="HUV49" s="952"/>
      <c r="HUW49" s="952"/>
      <c r="HUX49" s="952"/>
      <c r="HUY49" s="952"/>
      <c r="HUZ49" s="952"/>
      <c r="HVA49" s="952"/>
      <c r="HVB49" s="952"/>
      <c r="HVC49" s="952"/>
      <c r="HVD49" s="952"/>
      <c r="HVE49" s="952"/>
      <c r="HVF49" s="952"/>
      <c r="HVG49" s="952"/>
      <c r="HVH49" s="952"/>
      <c r="HVI49" s="952"/>
      <c r="HVJ49" s="952"/>
      <c r="HVK49" s="952"/>
      <c r="HVL49" s="952"/>
      <c r="HVM49" s="952"/>
      <c r="HVN49" s="952"/>
      <c r="HVO49" s="952"/>
      <c r="HVP49" s="952"/>
      <c r="HVQ49" s="952"/>
      <c r="HVR49" s="952"/>
      <c r="HVS49" s="952"/>
      <c r="HVT49" s="952"/>
      <c r="HVU49" s="952"/>
      <c r="HVV49" s="952"/>
      <c r="HVW49" s="952"/>
      <c r="HVX49" s="952"/>
      <c r="HVY49" s="952"/>
      <c r="HVZ49" s="952"/>
      <c r="HWA49" s="952"/>
      <c r="HWB49" s="952"/>
      <c r="HWC49" s="952"/>
      <c r="HWD49" s="952"/>
      <c r="HWE49" s="952"/>
      <c r="HWF49" s="952"/>
      <c r="HWG49" s="952"/>
      <c r="HWH49" s="952"/>
      <c r="HWI49" s="952"/>
      <c r="HWJ49" s="952"/>
      <c r="HWK49" s="952"/>
      <c r="HWL49" s="952"/>
      <c r="HWM49" s="952"/>
      <c r="HWN49" s="952"/>
      <c r="HWO49" s="952"/>
      <c r="HWP49" s="952"/>
      <c r="HWQ49" s="952"/>
      <c r="HWR49" s="952"/>
      <c r="HWS49" s="952"/>
      <c r="HWT49" s="952"/>
      <c r="HWU49" s="952"/>
      <c r="HWV49" s="952"/>
      <c r="HWW49" s="952"/>
      <c r="HWX49" s="952"/>
      <c r="HWY49" s="952"/>
      <c r="HWZ49" s="952"/>
      <c r="HXA49" s="952"/>
      <c r="HXB49" s="952"/>
      <c r="HXC49" s="952"/>
      <c r="HXD49" s="952"/>
      <c r="HXE49" s="952"/>
      <c r="HXF49" s="952"/>
      <c r="HXG49" s="952"/>
      <c r="HXH49" s="952"/>
      <c r="HXI49" s="952"/>
      <c r="HXJ49" s="952"/>
      <c r="HXK49" s="952"/>
      <c r="HXL49" s="952"/>
      <c r="HXM49" s="952"/>
      <c r="HXN49" s="952"/>
      <c r="HXO49" s="952"/>
      <c r="HXP49" s="952"/>
      <c r="HXQ49" s="952"/>
      <c r="HXR49" s="952"/>
      <c r="HXS49" s="952"/>
      <c r="HXT49" s="952"/>
      <c r="HXU49" s="952"/>
      <c r="HXV49" s="952"/>
      <c r="HXW49" s="952"/>
      <c r="HXX49" s="952"/>
      <c r="HXY49" s="952"/>
      <c r="HXZ49" s="952"/>
      <c r="HYA49" s="952"/>
      <c r="HYB49" s="952"/>
      <c r="HYC49" s="952"/>
      <c r="HYD49" s="952"/>
      <c r="HYE49" s="952"/>
      <c r="HYF49" s="952"/>
      <c r="HYG49" s="952"/>
      <c r="HYH49" s="952"/>
      <c r="HYI49" s="952"/>
      <c r="HYJ49" s="952"/>
      <c r="HYK49" s="952"/>
      <c r="HYL49" s="952"/>
      <c r="HYM49" s="952"/>
      <c r="HYN49" s="952"/>
      <c r="HYO49" s="952"/>
      <c r="HYP49" s="952"/>
      <c r="HYQ49" s="952"/>
      <c r="HYR49" s="952"/>
      <c r="HYS49" s="952"/>
      <c r="HYT49" s="952"/>
      <c r="HYU49" s="952"/>
      <c r="HYV49" s="952"/>
      <c r="HYW49" s="952"/>
      <c r="HYX49" s="952"/>
      <c r="HYY49" s="952"/>
      <c r="HYZ49" s="952"/>
      <c r="HZA49" s="952"/>
      <c r="HZB49" s="952"/>
      <c r="HZC49" s="952"/>
      <c r="HZD49" s="952"/>
      <c r="HZE49" s="952"/>
      <c r="HZF49" s="952"/>
      <c r="HZG49" s="952"/>
      <c r="HZH49" s="952"/>
      <c r="HZI49" s="952"/>
      <c r="HZJ49" s="952"/>
      <c r="HZK49" s="952"/>
      <c r="HZL49" s="952"/>
      <c r="HZM49" s="952"/>
      <c r="HZN49" s="952"/>
      <c r="HZO49" s="952"/>
      <c r="HZP49" s="952"/>
      <c r="HZQ49" s="952"/>
      <c r="HZR49" s="952"/>
      <c r="HZS49" s="952"/>
      <c r="HZT49" s="952"/>
      <c r="HZU49" s="952"/>
      <c r="HZV49" s="952"/>
      <c r="HZW49" s="952"/>
      <c r="HZX49" s="952"/>
      <c r="HZY49" s="952"/>
      <c r="HZZ49" s="952"/>
      <c r="IAA49" s="952"/>
      <c r="IAB49" s="952"/>
      <c r="IAC49" s="952"/>
      <c r="IAD49" s="952"/>
      <c r="IAE49" s="952"/>
      <c r="IAF49" s="952"/>
      <c r="IAG49" s="952"/>
      <c r="IAH49" s="952"/>
      <c r="IAI49" s="952"/>
      <c r="IAJ49" s="952"/>
      <c r="IAK49" s="952"/>
      <c r="IAL49" s="952"/>
      <c r="IAM49" s="952"/>
      <c r="IAN49" s="952"/>
      <c r="IAO49" s="952"/>
      <c r="IAP49" s="952"/>
      <c r="IAQ49" s="952"/>
      <c r="IAR49" s="952"/>
      <c r="IAS49" s="952"/>
      <c r="IAT49" s="952"/>
      <c r="IAU49" s="952"/>
      <c r="IAV49" s="952"/>
      <c r="IAW49" s="952"/>
      <c r="IAX49" s="952"/>
      <c r="IAY49" s="952"/>
      <c r="IAZ49" s="952"/>
      <c r="IBA49" s="952"/>
      <c r="IBB49" s="952"/>
      <c r="IBC49" s="952"/>
      <c r="IBD49" s="952"/>
      <c r="IBE49" s="952"/>
      <c r="IBF49" s="952"/>
      <c r="IBG49" s="952"/>
      <c r="IBH49" s="952"/>
      <c r="IBI49" s="952"/>
      <c r="IBJ49" s="952"/>
      <c r="IBK49" s="952"/>
      <c r="IBL49" s="952"/>
      <c r="IBM49" s="952"/>
      <c r="IBN49" s="952"/>
      <c r="IBO49" s="952"/>
      <c r="IBP49" s="952"/>
      <c r="IBQ49" s="952"/>
      <c r="IBR49" s="952"/>
      <c r="IBS49" s="952"/>
      <c r="IBT49" s="952"/>
      <c r="IBU49" s="952"/>
      <c r="IBV49" s="952"/>
      <c r="IBW49" s="952"/>
      <c r="IBX49" s="952"/>
      <c r="IBY49" s="952"/>
      <c r="IBZ49" s="952"/>
      <c r="ICA49" s="952"/>
      <c r="ICB49" s="952"/>
      <c r="ICC49" s="952"/>
      <c r="ICD49" s="952"/>
      <c r="ICE49" s="952"/>
      <c r="ICF49" s="952"/>
      <c r="ICG49" s="952"/>
      <c r="ICH49" s="952"/>
      <c r="ICI49" s="952"/>
      <c r="ICJ49" s="952"/>
      <c r="ICK49" s="952"/>
      <c r="ICL49" s="952"/>
      <c r="ICM49" s="952"/>
      <c r="ICN49" s="952"/>
      <c r="ICO49" s="952"/>
      <c r="ICP49" s="952"/>
      <c r="ICQ49" s="952"/>
      <c r="ICR49" s="952"/>
      <c r="ICS49" s="952"/>
      <c r="ICT49" s="952"/>
      <c r="ICU49" s="952"/>
      <c r="ICV49" s="952"/>
      <c r="ICW49" s="952"/>
      <c r="ICX49" s="952"/>
      <c r="ICY49" s="952"/>
      <c r="ICZ49" s="952"/>
      <c r="IDA49" s="952"/>
      <c r="IDB49" s="952"/>
      <c r="IDC49" s="952"/>
      <c r="IDD49" s="952"/>
      <c r="IDE49" s="952"/>
      <c r="IDF49" s="952"/>
      <c r="IDG49" s="952"/>
      <c r="IDH49" s="952"/>
      <c r="IDI49" s="952"/>
      <c r="IDJ49" s="952"/>
      <c r="IDK49" s="952"/>
      <c r="IDL49" s="952"/>
      <c r="IDM49" s="952"/>
      <c r="IDN49" s="952"/>
      <c r="IDO49" s="952"/>
      <c r="IDP49" s="952"/>
      <c r="IDQ49" s="952"/>
      <c r="IDR49" s="952"/>
      <c r="IDS49" s="952"/>
      <c r="IDT49" s="952"/>
      <c r="IDU49" s="952"/>
      <c r="IDV49" s="952"/>
      <c r="IDW49" s="952"/>
      <c r="IDX49" s="952"/>
      <c r="IDY49" s="952"/>
      <c r="IDZ49" s="952"/>
      <c r="IEA49" s="952"/>
      <c r="IEB49" s="952"/>
      <c r="IEC49" s="952"/>
      <c r="IED49" s="952"/>
      <c r="IEE49" s="952"/>
      <c r="IEF49" s="952"/>
      <c r="IEG49" s="952"/>
      <c r="IEH49" s="952"/>
      <c r="IEI49" s="952"/>
      <c r="IEJ49" s="952"/>
      <c r="IEK49" s="952"/>
      <c r="IEL49" s="952"/>
      <c r="IEM49" s="952"/>
      <c r="IEN49" s="952"/>
      <c r="IEO49" s="952"/>
      <c r="IEP49" s="952"/>
      <c r="IEQ49" s="952"/>
      <c r="IER49" s="952"/>
      <c r="IES49" s="952"/>
      <c r="IET49" s="952"/>
      <c r="IEU49" s="952"/>
      <c r="IEV49" s="952"/>
      <c r="IEW49" s="952"/>
      <c r="IEX49" s="952"/>
      <c r="IEY49" s="952"/>
      <c r="IEZ49" s="952"/>
      <c r="IFA49" s="952"/>
      <c r="IFB49" s="952"/>
      <c r="IFC49" s="952"/>
      <c r="IFD49" s="952"/>
      <c r="IFE49" s="952"/>
      <c r="IFF49" s="952"/>
      <c r="IFG49" s="952"/>
      <c r="IFH49" s="952"/>
      <c r="IFI49" s="952"/>
      <c r="IFJ49" s="952"/>
      <c r="IFK49" s="952"/>
      <c r="IFL49" s="952"/>
      <c r="IFM49" s="952"/>
      <c r="IFN49" s="952"/>
      <c r="IFO49" s="952"/>
      <c r="IFP49" s="952"/>
      <c r="IFQ49" s="952"/>
      <c r="IFR49" s="952"/>
      <c r="IFS49" s="952"/>
      <c r="IFT49" s="952"/>
      <c r="IFU49" s="952"/>
      <c r="IFV49" s="952"/>
      <c r="IFW49" s="952"/>
      <c r="IFX49" s="952"/>
      <c r="IFY49" s="952"/>
      <c r="IFZ49" s="952"/>
      <c r="IGA49" s="952"/>
      <c r="IGB49" s="952"/>
      <c r="IGC49" s="952"/>
      <c r="IGD49" s="952"/>
      <c r="IGE49" s="952"/>
      <c r="IGF49" s="952"/>
      <c r="IGG49" s="952"/>
      <c r="IGH49" s="952"/>
      <c r="IGI49" s="952"/>
      <c r="IGJ49" s="952"/>
      <c r="IGK49" s="952"/>
      <c r="IGL49" s="952"/>
      <c r="IGM49" s="952"/>
      <c r="IGN49" s="952"/>
      <c r="IGO49" s="952"/>
      <c r="IGP49" s="952"/>
      <c r="IGQ49" s="952"/>
      <c r="IGR49" s="952"/>
      <c r="IGS49" s="952"/>
      <c r="IGT49" s="952"/>
      <c r="IGU49" s="952"/>
      <c r="IGV49" s="952"/>
      <c r="IGW49" s="952"/>
      <c r="IGX49" s="952"/>
      <c r="IGY49" s="952"/>
      <c r="IGZ49" s="952"/>
      <c r="IHA49" s="952"/>
      <c r="IHB49" s="952"/>
      <c r="IHC49" s="952"/>
      <c r="IHD49" s="952"/>
      <c r="IHE49" s="952"/>
      <c r="IHF49" s="952"/>
      <c r="IHG49" s="952"/>
      <c r="IHH49" s="952"/>
      <c r="IHI49" s="952"/>
      <c r="IHJ49" s="952"/>
      <c r="IHK49" s="952"/>
      <c r="IHL49" s="952"/>
      <c r="IHM49" s="952"/>
      <c r="IHN49" s="952"/>
      <c r="IHO49" s="952"/>
      <c r="IHP49" s="952"/>
      <c r="IHQ49" s="952"/>
      <c r="IHR49" s="952"/>
      <c r="IHS49" s="952"/>
      <c r="IHT49" s="952"/>
      <c r="IHU49" s="952"/>
      <c r="IHV49" s="952"/>
      <c r="IHW49" s="952"/>
      <c r="IHX49" s="952"/>
      <c r="IHY49" s="952"/>
      <c r="IHZ49" s="952"/>
      <c r="IIA49" s="952"/>
      <c r="IIB49" s="952"/>
      <c r="IIC49" s="952"/>
      <c r="IID49" s="952"/>
      <c r="IIE49" s="952"/>
      <c r="IIF49" s="952"/>
      <c r="IIG49" s="952"/>
      <c r="IIH49" s="952"/>
      <c r="III49" s="952"/>
      <c r="IIJ49" s="952"/>
      <c r="IIK49" s="952"/>
      <c r="IIL49" s="952"/>
      <c r="IIM49" s="952"/>
      <c r="IIN49" s="952"/>
      <c r="IIO49" s="952"/>
      <c r="IIP49" s="952"/>
      <c r="IIQ49" s="952"/>
      <c r="IIR49" s="952"/>
      <c r="IIS49" s="952"/>
      <c r="IIT49" s="952"/>
      <c r="IIU49" s="952"/>
      <c r="IIV49" s="952"/>
      <c r="IIW49" s="952"/>
      <c r="IIX49" s="952"/>
      <c r="IIY49" s="952"/>
      <c r="IIZ49" s="952"/>
      <c r="IJA49" s="952"/>
      <c r="IJB49" s="952"/>
      <c r="IJC49" s="952"/>
      <c r="IJD49" s="952"/>
      <c r="IJE49" s="952"/>
      <c r="IJF49" s="952"/>
      <c r="IJG49" s="952"/>
      <c r="IJH49" s="952"/>
      <c r="IJI49" s="952"/>
      <c r="IJJ49" s="952"/>
      <c r="IJK49" s="952"/>
      <c r="IJL49" s="952"/>
      <c r="IJM49" s="952"/>
      <c r="IJN49" s="952"/>
      <c r="IJO49" s="952"/>
      <c r="IJP49" s="952"/>
      <c r="IJQ49" s="952"/>
      <c r="IJR49" s="952"/>
      <c r="IJS49" s="952"/>
      <c r="IJT49" s="952"/>
      <c r="IJU49" s="952"/>
      <c r="IJV49" s="952"/>
      <c r="IJW49" s="952"/>
      <c r="IJX49" s="952"/>
      <c r="IJY49" s="952"/>
      <c r="IJZ49" s="952"/>
      <c r="IKA49" s="952"/>
      <c r="IKB49" s="952"/>
      <c r="IKC49" s="952"/>
      <c r="IKD49" s="952"/>
      <c r="IKE49" s="952"/>
      <c r="IKF49" s="952"/>
      <c r="IKG49" s="952"/>
      <c r="IKH49" s="952"/>
      <c r="IKI49" s="952"/>
      <c r="IKJ49" s="952"/>
      <c r="IKK49" s="952"/>
      <c r="IKL49" s="952"/>
      <c r="IKM49" s="952"/>
      <c r="IKN49" s="952"/>
      <c r="IKO49" s="952"/>
      <c r="IKP49" s="952"/>
      <c r="IKQ49" s="952"/>
      <c r="IKR49" s="952"/>
      <c r="IKS49" s="952"/>
      <c r="IKT49" s="952"/>
      <c r="IKU49" s="952"/>
      <c r="IKV49" s="952"/>
      <c r="IKW49" s="952"/>
      <c r="IKX49" s="952"/>
      <c r="IKY49" s="952"/>
      <c r="IKZ49" s="952"/>
      <c r="ILA49" s="952"/>
      <c r="ILB49" s="952"/>
      <c r="ILC49" s="952"/>
      <c r="ILD49" s="952"/>
      <c r="ILE49" s="952"/>
      <c r="ILF49" s="952"/>
      <c r="ILG49" s="952"/>
      <c r="ILH49" s="952"/>
      <c r="ILI49" s="952"/>
      <c r="ILJ49" s="952"/>
      <c r="ILK49" s="952"/>
      <c r="ILL49" s="952"/>
      <c r="ILM49" s="952"/>
      <c r="ILN49" s="952"/>
      <c r="ILO49" s="952"/>
      <c r="ILP49" s="952"/>
      <c r="ILQ49" s="952"/>
      <c r="ILR49" s="952"/>
      <c r="ILS49" s="952"/>
      <c r="ILT49" s="952"/>
      <c r="ILU49" s="952"/>
      <c r="ILV49" s="952"/>
      <c r="ILW49" s="952"/>
      <c r="ILX49" s="952"/>
      <c r="ILY49" s="952"/>
      <c r="ILZ49" s="952"/>
      <c r="IMA49" s="952"/>
      <c r="IMB49" s="952"/>
      <c r="IMC49" s="952"/>
      <c r="IMD49" s="952"/>
      <c r="IME49" s="952"/>
      <c r="IMF49" s="952"/>
      <c r="IMG49" s="952"/>
      <c r="IMH49" s="952"/>
      <c r="IMI49" s="952"/>
      <c r="IMJ49" s="952"/>
      <c r="IMK49" s="952"/>
      <c r="IML49" s="952"/>
      <c r="IMM49" s="952"/>
      <c r="IMN49" s="952"/>
      <c r="IMO49" s="952"/>
      <c r="IMP49" s="952"/>
      <c r="IMQ49" s="952"/>
      <c r="IMR49" s="952"/>
      <c r="IMS49" s="952"/>
      <c r="IMT49" s="952"/>
      <c r="IMU49" s="952"/>
      <c r="IMV49" s="952"/>
      <c r="IMW49" s="952"/>
      <c r="IMX49" s="952"/>
      <c r="IMY49" s="952"/>
      <c r="IMZ49" s="952"/>
      <c r="INA49" s="952"/>
      <c r="INB49" s="952"/>
      <c r="INC49" s="952"/>
      <c r="IND49" s="952"/>
      <c r="INE49" s="952"/>
      <c r="INF49" s="952"/>
      <c r="ING49" s="952"/>
      <c r="INH49" s="952"/>
      <c r="INI49" s="952"/>
      <c r="INJ49" s="952"/>
      <c r="INK49" s="952"/>
      <c r="INL49" s="952"/>
      <c r="INM49" s="952"/>
      <c r="INN49" s="952"/>
      <c r="INO49" s="952"/>
      <c r="INP49" s="952"/>
      <c r="INQ49" s="952"/>
      <c r="INR49" s="952"/>
      <c r="INS49" s="952"/>
      <c r="INT49" s="952"/>
      <c r="INU49" s="952"/>
      <c r="INV49" s="952"/>
      <c r="INW49" s="952"/>
      <c r="INX49" s="952"/>
      <c r="INY49" s="952"/>
      <c r="INZ49" s="952"/>
      <c r="IOA49" s="952"/>
      <c r="IOB49" s="952"/>
      <c r="IOC49" s="952"/>
      <c r="IOD49" s="952"/>
      <c r="IOE49" s="952"/>
      <c r="IOF49" s="952"/>
      <c r="IOG49" s="952"/>
      <c r="IOH49" s="952"/>
      <c r="IOI49" s="952"/>
      <c r="IOJ49" s="952"/>
      <c r="IOK49" s="952"/>
      <c r="IOL49" s="952"/>
      <c r="IOM49" s="952"/>
      <c r="ION49" s="952"/>
      <c r="IOO49" s="952"/>
      <c r="IOP49" s="952"/>
      <c r="IOQ49" s="952"/>
      <c r="IOR49" s="952"/>
      <c r="IOS49" s="952"/>
      <c r="IOT49" s="952"/>
      <c r="IOU49" s="952"/>
      <c r="IOV49" s="952"/>
      <c r="IOW49" s="952"/>
      <c r="IOX49" s="952"/>
      <c r="IOY49" s="952"/>
      <c r="IOZ49" s="952"/>
      <c r="IPA49" s="952"/>
      <c r="IPB49" s="952"/>
      <c r="IPC49" s="952"/>
      <c r="IPD49" s="952"/>
      <c r="IPE49" s="952"/>
      <c r="IPF49" s="952"/>
      <c r="IPG49" s="952"/>
      <c r="IPH49" s="952"/>
      <c r="IPI49" s="952"/>
      <c r="IPJ49" s="952"/>
      <c r="IPK49" s="952"/>
      <c r="IPL49" s="952"/>
      <c r="IPM49" s="952"/>
      <c r="IPN49" s="952"/>
      <c r="IPO49" s="952"/>
      <c r="IPP49" s="952"/>
      <c r="IPQ49" s="952"/>
      <c r="IPR49" s="952"/>
      <c r="IPS49" s="952"/>
      <c r="IPT49" s="952"/>
      <c r="IPU49" s="952"/>
      <c r="IPV49" s="952"/>
      <c r="IPW49" s="952"/>
      <c r="IPX49" s="952"/>
      <c r="IPY49" s="952"/>
      <c r="IPZ49" s="952"/>
      <c r="IQA49" s="952"/>
      <c r="IQB49" s="952"/>
      <c r="IQC49" s="952"/>
      <c r="IQD49" s="952"/>
      <c r="IQE49" s="952"/>
      <c r="IQF49" s="952"/>
      <c r="IQG49" s="952"/>
      <c r="IQH49" s="952"/>
      <c r="IQI49" s="952"/>
      <c r="IQJ49" s="952"/>
      <c r="IQK49" s="952"/>
      <c r="IQL49" s="952"/>
      <c r="IQM49" s="952"/>
      <c r="IQN49" s="952"/>
      <c r="IQO49" s="952"/>
      <c r="IQP49" s="952"/>
      <c r="IQQ49" s="952"/>
      <c r="IQR49" s="952"/>
      <c r="IQS49" s="952"/>
      <c r="IQT49" s="952"/>
      <c r="IQU49" s="952"/>
      <c r="IQV49" s="952"/>
      <c r="IQW49" s="952"/>
      <c r="IQX49" s="952"/>
      <c r="IQY49" s="952"/>
      <c r="IQZ49" s="952"/>
      <c r="IRA49" s="952"/>
      <c r="IRB49" s="952"/>
      <c r="IRC49" s="952"/>
      <c r="IRD49" s="952"/>
      <c r="IRE49" s="952"/>
      <c r="IRF49" s="952"/>
      <c r="IRG49" s="952"/>
      <c r="IRH49" s="952"/>
      <c r="IRI49" s="952"/>
      <c r="IRJ49" s="952"/>
      <c r="IRK49" s="952"/>
      <c r="IRL49" s="952"/>
      <c r="IRM49" s="952"/>
      <c r="IRN49" s="952"/>
      <c r="IRO49" s="952"/>
      <c r="IRP49" s="952"/>
      <c r="IRQ49" s="952"/>
      <c r="IRR49" s="952"/>
      <c r="IRS49" s="952"/>
      <c r="IRT49" s="952"/>
      <c r="IRU49" s="952"/>
      <c r="IRV49" s="952"/>
      <c r="IRW49" s="952"/>
      <c r="IRX49" s="952"/>
      <c r="IRY49" s="952"/>
      <c r="IRZ49" s="952"/>
      <c r="ISA49" s="952"/>
      <c r="ISB49" s="952"/>
      <c r="ISC49" s="952"/>
      <c r="ISD49" s="952"/>
      <c r="ISE49" s="952"/>
      <c r="ISF49" s="952"/>
      <c r="ISG49" s="952"/>
      <c r="ISH49" s="952"/>
      <c r="ISI49" s="952"/>
      <c r="ISJ49" s="952"/>
      <c r="ISK49" s="952"/>
      <c r="ISL49" s="952"/>
      <c r="ISM49" s="952"/>
      <c r="ISN49" s="952"/>
      <c r="ISO49" s="952"/>
      <c r="ISP49" s="952"/>
      <c r="ISQ49" s="952"/>
      <c r="ISR49" s="952"/>
      <c r="ISS49" s="952"/>
      <c r="IST49" s="952"/>
      <c r="ISU49" s="952"/>
      <c r="ISV49" s="952"/>
      <c r="ISW49" s="952"/>
      <c r="ISX49" s="952"/>
      <c r="ISY49" s="952"/>
      <c r="ISZ49" s="952"/>
      <c r="ITA49" s="952"/>
      <c r="ITB49" s="952"/>
      <c r="ITC49" s="952"/>
      <c r="ITD49" s="952"/>
      <c r="ITE49" s="952"/>
      <c r="ITF49" s="952"/>
      <c r="ITG49" s="952"/>
      <c r="ITH49" s="952"/>
      <c r="ITI49" s="952"/>
      <c r="ITJ49" s="952"/>
      <c r="ITK49" s="952"/>
      <c r="ITL49" s="952"/>
      <c r="ITM49" s="952"/>
      <c r="ITN49" s="952"/>
      <c r="ITO49" s="952"/>
      <c r="ITP49" s="952"/>
      <c r="ITQ49" s="952"/>
      <c r="ITR49" s="952"/>
      <c r="ITS49" s="952"/>
      <c r="ITT49" s="952"/>
      <c r="ITU49" s="952"/>
      <c r="ITV49" s="952"/>
      <c r="ITW49" s="952"/>
      <c r="ITX49" s="952"/>
      <c r="ITY49" s="952"/>
      <c r="ITZ49" s="952"/>
      <c r="IUA49" s="952"/>
      <c r="IUB49" s="952"/>
      <c r="IUC49" s="952"/>
      <c r="IUD49" s="952"/>
      <c r="IUE49" s="952"/>
      <c r="IUF49" s="952"/>
      <c r="IUG49" s="952"/>
      <c r="IUH49" s="952"/>
      <c r="IUI49" s="952"/>
      <c r="IUJ49" s="952"/>
      <c r="IUK49" s="952"/>
      <c r="IUL49" s="952"/>
      <c r="IUM49" s="952"/>
      <c r="IUN49" s="952"/>
      <c r="IUO49" s="952"/>
      <c r="IUP49" s="952"/>
      <c r="IUQ49" s="952"/>
      <c r="IUR49" s="952"/>
      <c r="IUS49" s="952"/>
      <c r="IUT49" s="952"/>
      <c r="IUU49" s="952"/>
      <c r="IUV49" s="952"/>
      <c r="IUW49" s="952"/>
      <c r="IUX49" s="952"/>
      <c r="IUY49" s="952"/>
      <c r="IUZ49" s="952"/>
      <c r="IVA49" s="952"/>
      <c r="IVB49" s="952"/>
      <c r="IVC49" s="952"/>
      <c r="IVD49" s="952"/>
      <c r="IVE49" s="952"/>
      <c r="IVF49" s="952"/>
      <c r="IVG49" s="952"/>
      <c r="IVH49" s="952"/>
      <c r="IVI49" s="952"/>
      <c r="IVJ49" s="952"/>
      <c r="IVK49" s="952"/>
      <c r="IVL49" s="952"/>
      <c r="IVM49" s="952"/>
      <c r="IVN49" s="952"/>
      <c r="IVO49" s="952"/>
      <c r="IVP49" s="952"/>
      <c r="IVQ49" s="952"/>
      <c r="IVR49" s="952"/>
      <c r="IVS49" s="952"/>
      <c r="IVT49" s="952"/>
      <c r="IVU49" s="952"/>
      <c r="IVV49" s="952"/>
      <c r="IVW49" s="952"/>
      <c r="IVX49" s="952"/>
      <c r="IVY49" s="952"/>
      <c r="IVZ49" s="952"/>
      <c r="IWA49" s="952"/>
      <c r="IWB49" s="952"/>
      <c r="IWC49" s="952"/>
      <c r="IWD49" s="952"/>
      <c r="IWE49" s="952"/>
      <c r="IWF49" s="952"/>
      <c r="IWG49" s="952"/>
      <c r="IWH49" s="952"/>
      <c r="IWI49" s="952"/>
      <c r="IWJ49" s="952"/>
      <c r="IWK49" s="952"/>
      <c r="IWL49" s="952"/>
      <c r="IWM49" s="952"/>
      <c r="IWN49" s="952"/>
      <c r="IWO49" s="952"/>
      <c r="IWP49" s="952"/>
      <c r="IWQ49" s="952"/>
      <c r="IWR49" s="952"/>
      <c r="IWS49" s="952"/>
      <c r="IWT49" s="952"/>
      <c r="IWU49" s="952"/>
      <c r="IWV49" s="952"/>
      <c r="IWW49" s="952"/>
      <c r="IWX49" s="952"/>
      <c r="IWY49" s="952"/>
      <c r="IWZ49" s="952"/>
      <c r="IXA49" s="952"/>
      <c r="IXB49" s="952"/>
      <c r="IXC49" s="952"/>
      <c r="IXD49" s="952"/>
      <c r="IXE49" s="952"/>
      <c r="IXF49" s="952"/>
      <c r="IXG49" s="952"/>
      <c r="IXH49" s="952"/>
      <c r="IXI49" s="952"/>
      <c r="IXJ49" s="952"/>
      <c r="IXK49" s="952"/>
      <c r="IXL49" s="952"/>
      <c r="IXM49" s="952"/>
      <c r="IXN49" s="952"/>
      <c r="IXO49" s="952"/>
      <c r="IXP49" s="952"/>
      <c r="IXQ49" s="952"/>
      <c r="IXR49" s="952"/>
      <c r="IXS49" s="952"/>
      <c r="IXT49" s="952"/>
      <c r="IXU49" s="952"/>
      <c r="IXV49" s="952"/>
      <c r="IXW49" s="952"/>
      <c r="IXX49" s="952"/>
      <c r="IXY49" s="952"/>
      <c r="IXZ49" s="952"/>
      <c r="IYA49" s="952"/>
      <c r="IYB49" s="952"/>
      <c r="IYC49" s="952"/>
      <c r="IYD49" s="952"/>
      <c r="IYE49" s="952"/>
      <c r="IYF49" s="952"/>
      <c r="IYG49" s="952"/>
      <c r="IYH49" s="952"/>
      <c r="IYI49" s="952"/>
      <c r="IYJ49" s="952"/>
      <c r="IYK49" s="952"/>
      <c r="IYL49" s="952"/>
      <c r="IYM49" s="952"/>
      <c r="IYN49" s="952"/>
      <c r="IYO49" s="952"/>
      <c r="IYP49" s="952"/>
      <c r="IYQ49" s="952"/>
      <c r="IYR49" s="952"/>
      <c r="IYS49" s="952"/>
      <c r="IYT49" s="952"/>
      <c r="IYU49" s="952"/>
      <c r="IYV49" s="952"/>
      <c r="IYW49" s="952"/>
      <c r="IYX49" s="952"/>
      <c r="IYY49" s="952"/>
      <c r="IYZ49" s="952"/>
      <c r="IZA49" s="952"/>
      <c r="IZB49" s="952"/>
      <c r="IZC49" s="952"/>
      <c r="IZD49" s="952"/>
      <c r="IZE49" s="952"/>
      <c r="IZF49" s="952"/>
      <c r="IZG49" s="952"/>
      <c r="IZH49" s="952"/>
      <c r="IZI49" s="952"/>
      <c r="IZJ49" s="952"/>
      <c r="IZK49" s="952"/>
      <c r="IZL49" s="952"/>
      <c r="IZM49" s="952"/>
      <c r="IZN49" s="952"/>
      <c r="IZO49" s="952"/>
      <c r="IZP49" s="952"/>
      <c r="IZQ49" s="952"/>
      <c r="IZR49" s="952"/>
      <c r="IZS49" s="952"/>
      <c r="IZT49" s="952"/>
      <c r="IZU49" s="952"/>
      <c r="IZV49" s="952"/>
      <c r="IZW49" s="952"/>
      <c r="IZX49" s="952"/>
      <c r="IZY49" s="952"/>
      <c r="IZZ49" s="952"/>
      <c r="JAA49" s="952"/>
      <c r="JAB49" s="952"/>
      <c r="JAC49" s="952"/>
      <c r="JAD49" s="952"/>
      <c r="JAE49" s="952"/>
      <c r="JAF49" s="952"/>
      <c r="JAG49" s="952"/>
      <c r="JAH49" s="952"/>
      <c r="JAI49" s="952"/>
      <c r="JAJ49" s="952"/>
      <c r="JAK49" s="952"/>
      <c r="JAL49" s="952"/>
      <c r="JAM49" s="952"/>
      <c r="JAN49" s="952"/>
      <c r="JAO49" s="952"/>
      <c r="JAP49" s="952"/>
      <c r="JAQ49" s="952"/>
      <c r="JAR49" s="952"/>
      <c r="JAS49" s="952"/>
      <c r="JAT49" s="952"/>
      <c r="JAU49" s="952"/>
      <c r="JAV49" s="952"/>
      <c r="JAW49" s="952"/>
      <c r="JAX49" s="952"/>
      <c r="JAY49" s="952"/>
      <c r="JAZ49" s="952"/>
      <c r="JBA49" s="952"/>
      <c r="JBB49" s="952"/>
      <c r="JBC49" s="952"/>
      <c r="JBD49" s="952"/>
      <c r="JBE49" s="952"/>
      <c r="JBF49" s="952"/>
      <c r="JBG49" s="952"/>
      <c r="JBH49" s="952"/>
      <c r="JBI49" s="952"/>
      <c r="JBJ49" s="952"/>
      <c r="JBK49" s="952"/>
      <c r="JBL49" s="952"/>
      <c r="JBM49" s="952"/>
      <c r="JBN49" s="952"/>
      <c r="JBO49" s="952"/>
      <c r="JBP49" s="952"/>
      <c r="JBQ49" s="952"/>
      <c r="JBR49" s="952"/>
      <c r="JBS49" s="952"/>
      <c r="JBT49" s="952"/>
      <c r="JBU49" s="952"/>
      <c r="JBV49" s="952"/>
      <c r="JBW49" s="952"/>
      <c r="JBX49" s="952"/>
      <c r="JBY49" s="952"/>
      <c r="JBZ49" s="952"/>
      <c r="JCA49" s="952"/>
      <c r="JCB49" s="952"/>
      <c r="JCC49" s="952"/>
      <c r="JCD49" s="952"/>
      <c r="JCE49" s="952"/>
      <c r="JCF49" s="952"/>
      <c r="JCG49" s="952"/>
      <c r="JCH49" s="952"/>
      <c r="JCI49" s="952"/>
      <c r="JCJ49" s="952"/>
      <c r="JCK49" s="952"/>
      <c r="JCL49" s="952"/>
      <c r="JCM49" s="952"/>
      <c r="JCN49" s="952"/>
      <c r="JCO49" s="952"/>
      <c r="JCP49" s="952"/>
      <c r="JCQ49" s="952"/>
      <c r="JCR49" s="952"/>
      <c r="JCS49" s="952"/>
      <c r="JCT49" s="952"/>
      <c r="JCU49" s="952"/>
      <c r="JCV49" s="952"/>
      <c r="JCW49" s="952"/>
      <c r="JCX49" s="952"/>
      <c r="JCY49" s="952"/>
      <c r="JCZ49" s="952"/>
      <c r="JDA49" s="952"/>
      <c r="JDB49" s="952"/>
      <c r="JDC49" s="952"/>
      <c r="JDD49" s="952"/>
      <c r="JDE49" s="952"/>
      <c r="JDF49" s="952"/>
      <c r="JDG49" s="952"/>
      <c r="JDH49" s="952"/>
      <c r="JDI49" s="952"/>
      <c r="JDJ49" s="952"/>
      <c r="JDK49" s="952"/>
      <c r="JDL49" s="952"/>
      <c r="JDM49" s="952"/>
      <c r="JDN49" s="952"/>
      <c r="JDO49" s="952"/>
      <c r="JDP49" s="952"/>
      <c r="JDQ49" s="952"/>
      <c r="JDR49" s="952"/>
      <c r="JDS49" s="952"/>
      <c r="JDT49" s="952"/>
      <c r="JDU49" s="952"/>
      <c r="JDV49" s="952"/>
      <c r="JDW49" s="952"/>
      <c r="JDX49" s="952"/>
      <c r="JDY49" s="952"/>
      <c r="JDZ49" s="952"/>
      <c r="JEA49" s="952"/>
      <c r="JEB49" s="952"/>
      <c r="JEC49" s="952"/>
      <c r="JED49" s="952"/>
      <c r="JEE49" s="952"/>
      <c r="JEF49" s="952"/>
      <c r="JEG49" s="952"/>
      <c r="JEH49" s="952"/>
      <c r="JEI49" s="952"/>
      <c r="JEJ49" s="952"/>
      <c r="JEK49" s="952"/>
      <c r="JEL49" s="952"/>
      <c r="JEM49" s="952"/>
      <c r="JEN49" s="952"/>
      <c r="JEO49" s="952"/>
      <c r="JEP49" s="952"/>
      <c r="JEQ49" s="952"/>
      <c r="JER49" s="952"/>
      <c r="JES49" s="952"/>
      <c r="JET49" s="952"/>
      <c r="JEU49" s="952"/>
      <c r="JEV49" s="952"/>
      <c r="JEW49" s="952"/>
      <c r="JEX49" s="952"/>
      <c r="JEY49" s="952"/>
      <c r="JEZ49" s="952"/>
      <c r="JFA49" s="952"/>
      <c r="JFB49" s="952"/>
      <c r="JFC49" s="952"/>
      <c r="JFD49" s="952"/>
      <c r="JFE49" s="952"/>
      <c r="JFF49" s="952"/>
      <c r="JFG49" s="952"/>
      <c r="JFH49" s="952"/>
      <c r="JFI49" s="952"/>
      <c r="JFJ49" s="952"/>
      <c r="JFK49" s="952"/>
      <c r="JFL49" s="952"/>
      <c r="JFM49" s="952"/>
      <c r="JFN49" s="952"/>
      <c r="JFO49" s="952"/>
      <c r="JFP49" s="952"/>
      <c r="JFQ49" s="952"/>
      <c r="JFR49" s="952"/>
      <c r="JFS49" s="952"/>
      <c r="JFT49" s="952"/>
      <c r="JFU49" s="952"/>
      <c r="JFV49" s="952"/>
      <c r="JFW49" s="952"/>
      <c r="JFX49" s="952"/>
      <c r="JFY49" s="952"/>
      <c r="JFZ49" s="952"/>
      <c r="JGA49" s="952"/>
      <c r="JGB49" s="952"/>
      <c r="JGC49" s="952"/>
      <c r="JGD49" s="952"/>
      <c r="JGE49" s="952"/>
      <c r="JGF49" s="952"/>
      <c r="JGG49" s="952"/>
      <c r="JGH49" s="952"/>
      <c r="JGI49" s="952"/>
      <c r="JGJ49" s="952"/>
      <c r="JGK49" s="952"/>
      <c r="JGL49" s="952"/>
      <c r="JGM49" s="952"/>
      <c r="JGN49" s="952"/>
      <c r="JGO49" s="952"/>
      <c r="JGP49" s="952"/>
      <c r="JGQ49" s="952"/>
      <c r="JGR49" s="952"/>
      <c r="JGS49" s="952"/>
      <c r="JGT49" s="952"/>
      <c r="JGU49" s="952"/>
      <c r="JGV49" s="952"/>
      <c r="JGW49" s="952"/>
      <c r="JGX49" s="952"/>
      <c r="JGY49" s="952"/>
      <c r="JGZ49" s="952"/>
      <c r="JHA49" s="952"/>
      <c r="JHB49" s="952"/>
      <c r="JHC49" s="952"/>
      <c r="JHD49" s="952"/>
      <c r="JHE49" s="952"/>
      <c r="JHF49" s="952"/>
      <c r="JHG49" s="952"/>
      <c r="JHH49" s="952"/>
      <c r="JHI49" s="952"/>
      <c r="JHJ49" s="952"/>
      <c r="JHK49" s="952"/>
      <c r="JHL49" s="952"/>
      <c r="JHM49" s="952"/>
      <c r="JHN49" s="952"/>
      <c r="JHO49" s="952"/>
      <c r="JHP49" s="952"/>
      <c r="JHQ49" s="952"/>
      <c r="JHR49" s="952"/>
      <c r="JHS49" s="952"/>
      <c r="JHT49" s="952"/>
      <c r="JHU49" s="952"/>
      <c r="JHV49" s="952"/>
      <c r="JHW49" s="952"/>
      <c r="JHX49" s="952"/>
      <c r="JHY49" s="952"/>
      <c r="JHZ49" s="952"/>
      <c r="JIA49" s="952"/>
      <c r="JIB49" s="952"/>
      <c r="JIC49" s="952"/>
      <c r="JID49" s="952"/>
      <c r="JIE49" s="952"/>
      <c r="JIF49" s="952"/>
      <c r="JIG49" s="952"/>
      <c r="JIH49" s="952"/>
      <c r="JII49" s="952"/>
      <c r="JIJ49" s="952"/>
      <c r="JIK49" s="952"/>
      <c r="JIL49" s="952"/>
      <c r="JIM49" s="952"/>
      <c r="JIN49" s="952"/>
      <c r="JIO49" s="952"/>
      <c r="JIP49" s="952"/>
      <c r="JIQ49" s="952"/>
      <c r="JIR49" s="952"/>
      <c r="JIS49" s="952"/>
      <c r="JIT49" s="952"/>
      <c r="JIU49" s="952"/>
      <c r="JIV49" s="952"/>
      <c r="JIW49" s="952"/>
      <c r="JIX49" s="952"/>
      <c r="JIY49" s="952"/>
      <c r="JIZ49" s="952"/>
      <c r="JJA49" s="952"/>
      <c r="JJB49" s="952"/>
      <c r="JJC49" s="952"/>
      <c r="JJD49" s="952"/>
      <c r="JJE49" s="952"/>
      <c r="JJF49" s="952"/>
      <c r="JJG49" s="952"/>
      <c r="JJH49" s="952"/>
      <c r="JJI49" s="952"/>
      <c r="JJJ49" s="952"/>
      <c r="JJK49" s="952"/>
      <c r="JJL49" s="952"/>
      <c r="JJM49" s="952"/>
      <c r="JJN49" s="952"/>
      <c r="JJO49" s="952"/>
      <c r="JJP49" s="952"/>
      <c r="JJQ49" s="952"/>
      <c r="JJR49" s="952"/>
      <c r="JJS49" s="952"/>
      <c r="JJT49" s="952"/>
      <c r="JJU49" s="952"/>
      <c r="JJV49" s="952"/>
      <c r="JJW49" s="952"/>
      <c r="JJX49" s="952"/>
      <c r="JJY49" s="952"/>
      <c r="JJZ49" s="952"/>
      <c r="JKA49" s="952"/>
      <c r="JKB49" s="952"/>
      <c r="JKC49" s="952"/>
      <c r="JKD49" s="952"/>
      <c r="JKE49" s="952"/>
      <c r="JKF49" s="952"/>
      <c r="JKG49" s="952"/>
      <c r="JKH49" s="952"/>
      <c r="JKI49" s="952"/>
      <c r="JKJ49" s="952"/>
      <c r="JKK49" s="952"/>
      <c r="JKL49" s="952"/>
      <c r="JKM49" s="952"/>
      <c r="JKN49" s="952"/>
      <c r="JKO49" s="952"/>
      <c r="JKP49" s="952"/>
      <c r="JKQ49" s="952"/>
      <c r="JKR49" s="952"/>
      <c r="JKS49" s="952"/>
      <c r="JKT49" s="952"/>
      <c r="JKU49" s="952"/>
      <c r="JKV49" s="952"/>
      <c r="JKW49" s="952"/>
      <c r="JKX49" s="952"/>
      <c r="JKY49" s="952"/>
      <c r="JKZ49" s="952"/>
      <c r="JLA49" s="952"/>
      <c r="JLB49" s="952"/>
      <c r="JLC49" s="952"/>
      <c r="JLD49" s="952"/>
      <c r="JLE49" s="952"/>
      <c r="JLF49" s="952"/>
      <c r="JLG49" s="952"/>
      <c r="JLH49" s="952"/>
      <c r="JLI49" s="952"/>
      <c r="JLJ49" s="952"/>
      <c r="JLK49" s="952"/>
      <c r="JLL49" s="952"/>
      <c r="JLM49" s="952"/>
      <c r="JLN49" s="952"/>
      <c r="JLO49" s="952"/>
      <c r="JLP49" s="952"/>
      <c r="JLQ49" s="952"/>
      <c r="JLR49" s="952"/>
      <c r="JLS49" s="952"/>
      <c r="JLT49" s="952"/>
      <c r="JLU49" s="952"/>
      <c r="JLV49" s="952"/>
      <c r="JLW49" s="952"/>
      <c r="JLX49" s="952"/>
      <c r="JLY49" s="952"/>
      <c r="JLZ49" s="952"/>
      <c r="JMA49" s="952"/>
      <c r="JMB49" s="952"/>
      <c r="JMC49" s="952"/>
      <c r="JMD49" s="952"/>
      <c r="JME49" s="952"/>
      <c r="JMF49" s="952"/>
      <c r="JMG49" s="952"/>
      <c r="JMH49" s="952"/>
      <c r="JMI49" s="952"/>
      <c r="JMJ49" s="952"/>
      <c r="JMK49" s="952"/>
      <c r="JML49" s="952"/>
      <c r="JMM49" s="952"/>
      <c r="JMN49" s="952"/>
      <c r="JMO49" s="952"/>
      <c r="JMP49" s="952"/>
      <c r="JMQ49" s="952"/>
      <c r="JMR49" s="952"/>
      <c r="JMS49" s="952"/>
      <c r="JMT49" s="952"/>
      <c r="JMU49" s="952"/>
      <c r="JMV49" s="952"/>
      <c r="JMW49" s="952"/>
      <c r="JMX49" s="952"/>
      <c r="JMY49" s="952"/>
      <c r="JMZ49" s="952"/>
      <c r="JNA49" s="952"/>
      <c r="JNB49" s="952"/>
      <c r="JNC49" s="952"/>
      <c r="JND49" s="952"/>
      <c r="JNE49" s="952"/>
      <c r="JNF49" s="952"/>
      <c r="JNG49" s="952"/>
      <c r="JNH49" s="952"/>
      <c r="JNI49" s="952"/>
      <c r="JNJ49" s="952"/>
      <c r="JNK49" s="952"/>
      <c r="JNL49" s="952"/>
      <c r="JNM49" s="952"/>
      <c r="JNN49" s="952"/>
      <c r="JNO49" s="952"/>
      <c r="JNP49" s="952"/>
      <c r="JNQ49" s="952"/>
      <c r="JNR49" s="952"/>
      <c r="JNS49" s="952"/>
      <c r="JNT49" s="952"/>
      <c r="JNU49" s="952"/>
      <c r="JNV49" s="952"/>
      <c r="JNW49" s="952"/>
      <c r="JNX49" s="952"/>
      <c r="JNY49" s="952"/>
      <c r="JNZ49" s="952"/>
      <c r="JOA49" s="952"/>
      <c r="JOB49" s="952"/>
      <c r="JOC49" s="952"/>
      <c r="JOD49" s="952"/>
      <c r="JOE49" s="952"/>
      <c r="JOF49" s="952"/>
      <c r="JOG49" s="952"/>
      <c r="JOH49" s="952"/>
      <c r="JOI49" s="952"/>
      <c r="JOJ49" s="952"/>
      <c r="JOK49" s="952"/>
      <c r="JOL49" s="952"/>
      <c r="JOM49" s="952"/>
      <c r="JON49" s="952"/>
      <c r="JOO49" s="952"/>
      <c r="JOP49" s="952"/>
      <c r="JOQ49" s="952"/>
      <c r="JOR49" s="952"/>
      <c r="JOS49" s="952"/>
      <c r="JOT49" s="952"/>
      <c r="JOU49" s="952"/>
      <c r="JOV49" s="952"/>
      <c r="JOW49" s="952"/>
      <c r="JOX49" s="952"/>
      <c r="JOY49" s="952"/>
      <c r="JOZ49" s="952"/>
      <c r="JPA49" s="952"/>
      <c r="JPB49" s="952"/>
      <c r="JPC49" s="952"/>
      <c r="JPD49" s="952"/>
      <c r="JPE49" s="952"/>
      <c r="JPF49" s="952"/>
      <c r="JPG49" s="952"/>
      <c r="JPH49" s="952"/>
      <c r="JPI49" s="952"/>
      <c r="JPJ49" s="952"/>
      <c r="JPK49" s="952"/>
      <c r="JPL49" s="952"/>
      <c r="JPM49" s="952"/>
      <c r="JPN49" s="952"/>
      <c r="JPO49" s="952"/>
      <c r="JPP49" s="952"/>
      <c r="JPQ49" s="952"/>
      <c r="JPR49" s="952"/>
      <c r="JPS49" s="952"/>
      <c r="JPT49" s="952"/>
      <c r="JPU49" s="952"/>
      <c r="JPV49" s="952"/>
      <c r="JPW49" s="952"/>
      <c r="JPX49" s="952"/>
      <c r="JPY49" s="952"/>
      <c r="JPZ49" s="952"/>
      <c r="JQA49" s="952"/>
      <c r="JQB49" s="952"/>
      <c r="JQC49" s="952"/>
      <c r="JQD49" s="952"/>
      <c r="JQE49" s="952"/>
      <c r="JQF49" s="952"/>
      <c r="JQG49" s="952"/>
      <c r="JQH49" s="952"/>
      <c r="JQI49" s="952"/>
      <c r="JQJ49" s="952"/>
      <c r="JQK49" s="952"/>
      <c r="JQL49" s="952"/>
      <c r="JQM49" s="952"/>
      <c r="JQN49" s="952"/>
      <c r="JQO49" s="952"/>
      <c r="JQP49" s="952"/>
      <c r="JQQ49" s="952"/>
      <c r="JQR49" s="952"/>
      <c r="JQS49" s="952"/>
      <c r="JQT49" s="952"/>
      <c r="JQU49" s="952"/>
      <c r="JQV49" s="952"/>
      <c r="JQW49" s="952"/>
      <c r="JQX49" s="952"/>
      <c r="JQY49" s="952"/>
      <c r="JQZ49" s="952"/>
      <c r="JRA49" s="952"/>
      <c r="JRB49" s="952"/>
      <c r="JRC49" s="952"/>
      <c r="JRD49" s="952"/>
      <c r="JRE49" s="952"/>
      <c r="JRF49" s="952"/>
      <c r="JRG49" s="952"/>
      <c r="JRH49" s="952"/>
      <c r="JRI49" s="952"/>
      <c r="JRJ49" s="952"/>
      <c r="JRK49" s="952"/>
      <c r="JRL49" s="952"/>
      <c r="JRM49" s="952"/>
      <c r="JRN49" s="952"/>
      <c r="JRO49" s="952"/>
      <c r="JRP49" s="952"/>
      <c r="JRQ49" s="952"/>
      <c r="JRR49" s="952"/>
      <c r="JRS49" s="952"/>
      <c r="JRT49" s="952"/>
      <c r="JRU49" s="952"/>
      <c r="JRV49" s="952"/>
      <c r="JRW49" s="952"/>
      <c r="JRX49" s="952"/>
      <c r="JRY49" s="952"/>
      <c r="JRZ49" s="952"/>
      <c r="JSA49" s="952"/>
      <c r="JSB49" s="952"/>
      <c r="JSC49" s="952"/>
      <c r="JSD49" s="952"/>
      <c r="JSE49" s="952"/>
      <c r="JSF49" s="952"/>
      <c r="JSG49" s="952"/>
      <c r="JSH49" s="952"/>
      <c r="JSI49" s="952"/>
      <c r="JSJ49" s="952"/>
      <c r="JSK49" s="952"/>
      <c r="JSL49" s="952"/>
      <c r="JSM49" s="952"/>
      <c r="JSN49" s="952"/>
      <c r="JSO49" s="952"/>
      <c r="JSP49" s="952"/>
      <c r="JSQ49" s="952"/>
      <c r="JSR49" s="952"/>
      <c r="JSS49" s="952"/>
      <c r="JST49" s="952"/>
      <c r="JSU49" s="952"/>
      <c r="JSV49" s="952"/>
      <c r="JSW49" s="952"/>
      <c r="JSX49" s="952"/>
      <c r="JSY49" s="952"/>
      <c r="JSZ49" s="952"/>
      <c r="JTA49" s="952"/>
      <c r="JTB49" s="952"/>
      <c r="JTC49" s="952"/>
      <c r="JTD49" s="952"/>
      <c r="JTE49" s="952"/>
      <c r="JTF49" s="952"/>
      <c r="JTG49" s="952"/>
      <c r="JTH49" s="952"/>
      <c r="JTI49" s="952"/>
      <c r="JTJ49" s="952"/>
      <c r="JTK49" s="952"/>
      <c r="JTL49" s="952"/>
      <c r="JTM49" s="952"/>
      <c r="JTN49" s="952"/>
      <c r="JTO49" s="952"/>
      <c r="JTP49" s="952"/>
      <c r="JTQ49" s="952"/>
      <c r="JTR49" s="952"/>
      <c r="JTS49" s="952"/>
      <c r="JTT49" s="952"/>
      <c r="JTU49" s="952"/>
      <c r="JTV49" s="952"/>
      <c r="JTW49" s="952"/>
      <c r="JTX49" s="952"/>
      <c r="JTY49" s="952"/>
      <c r="JTZ49" s="952"/>
      <c r="JUA49" s="952"/>
      <c r="JUB49" s="952"/>
      <c r="JUC49" s="952"/>
      <c r="JUD49" s="952"/>
      <c r="JUE49" s="952"/>
      <c r="JUF49" s="952"/>
      <c r="JUG49" s="952"/>
      <c r="JUH49" s="952"/>
      <c r="JUI49" s="952"/>
      <c r="JUJ49" s="952"/>
      <c r="JUK49" s="952"/>
      <c r="JUL49" s="952"/>
      <c r="JUM49" s="952"/>
      <c r="JUN49" s="952"/>
      <c r="JUO49" s="952"/>
      <c r="JUP49" s="952"/>
      <c r="JUQ49" s="952"/>
      <c r="JUR49" s="952"/>
      <c r="JUS49" s="952"/>
      <c r="JUT49" s="952"/>
      <c r="JUU49" s="952"/>
      <c r="JUV49" s="952"/>
      <c r="JUW49" s="952"/>
      <c r="JUX49" s="952"/>
      <c r="JUY49" s="952"/>
      <c r="JUZ49" s="952"/>
      <c r="JVA49" s="952"/>
      <c r="JVB49" s="952"/>
      <c r="JVC49" s="952"/>
      <c r="JVD49" s="952"/>
      <c r="JVE49" s="952"/>
      <c r="JVF49" s="952"/>
      <c r="JVG49" s="952"/>
      <c r="JVH49" s="952"/>
      <c r="JVI49" s="952"/>
      <c r="JVJ49" s="952"/>
      <c r="JVK49" s="952"/>
      <c r="JVL49" s="952"/>
      <c r="JVM49" s="952"/>
      <c r="JVN49" s="952"/>
      <c r="JVO49" s="952"/>
      <c r="JVP49" s="952"/>
      <c r="JVQ49" s="952"/>
      <c r="JVR49" s="952"/>
      <c r="JVS49" s="952"/>
      <c r="JVT49" s="952"/>
      <c r="JVU49" s="952"/>
      <c r="JVV49" s="952"/>
      <c r="JVW49" s="952"/>
      <c r="JVX49" s="952"/>
      <c r="JVY49" s="952"/>
      <c r="JVZ49" s="952"/>
      <c r="JWA49" s="952"/>
      <c r="JWB49" s="952"/>
      <c r="JWC49" s="952"/>
      <c r="JWD49" s="952"/>
      <c r="JWE49" s="952"/>
      <c r="JWF49" s="952"/>
      <c r="JWG49" s="952"/>
      <c r="JWH49" s="952"/>
      <c r="JWI49" s="952"/>
      <c r="JWJ49" s="952"/>
      <c r="JWK49" s="952"/>
      <c r="JWL49" s="952"/>
      <c r="JWM49" s="952"/>
      <c r="JWN49" s="952"/>
      <c r="JWO49" s="952"/>
      <c r="JWP49" s="952"/>
      <c r="JWQ49" s="952"/>
      <c r="JWR49" s="952"/>
      <c r="JWS49" s="952"/>
      <c r="JWT49" s="952"/>
      <c r="JWU49" s="952"/>
      <c r="JWV49" s="952"/>
      <c r="JWW49" s="952"/>
      <c r="JWX49" s="952"/>
      <c r="JWY49" s="952"/>
      <c r="JWZ49" s="952"/>
      <c r="JXA49" s="952"/>
      <c r="JXB49" s="952"/>
      <c r="JXC49" s="952"/>
      <c r="JXD49" s="952"/>
      <c r="JXE49" s="952"/>
      <c r="JXF49" s="952"/>
      <c r="JXG49" s="952"/>
      <c r="JXH49" s="952"/>
      <c r="JXI49" s="952"/>
      <c r="JXJ49" s="952"/>
      <c r="JXK49" s="952"/>
      <c r="JXL49" s="952"/>
      <c r="JXM49" s="952"/>
      <c r="JXN49" s="952"/>
      <c r="JXO49" s="952"/>
      <c r="JXP49" s="952"/>
      <c r="JXQ49" s="952"/>
      <c r="JXR49" s="952"/>
      <c r="JXS49" s="952"/>
      <c r="JXT49" s="952"/>
      <c r="JXU49" s="952"/>
      <c r="JXV49" s="952"/>
      <c r="JXW49" s="952"/>
      <c r="JXX49" s="952"/>
      <c r="JXY49" s="952"/>
      <c r="JXZ49" s="952"/>
      <c r="JYA49" s="952"/>
      <c r="JYB49" s="952"/>
      <c r="JYC49" s="952"/>
      <c r="JYD49" s="952"/>
      <c r="JYE49" s="952"/>
      <c r="JYF49" s="952"/>
      <c r="JYG49" s="952"/>
      <c r="JYH49" s="952"/>
      <c r="JYI49" s="952"/>
      <c r="JYJ49" s="952"/>
      <c r="JYK49" s="952"/>
      <c r="JYL49" s="952"/>
      <c r="JYM49" s="952"/>
      <c r="JYN49" s="952"/>
      <c r="JYO49" s="952"/>
      <c r="JYP49" s="952"/>
      <c r="JYQ49" s="952"/>
      <c r="JYR49" s="952"/>
      <c r="JYS49" s="952"/>
      <c r="JYT49" s="952"/>
      <c r="JYU49" s="952"/>
      <c r="JYV49" s="952"/>
      <c r="JYW49" s="952"/>
      <c r="JYX49" s="952"/>
      <c r="JYY49" s="952"/>
      <c r="JYZ49" s="952"/>
      <c r="JZA49" s="952"/>
      <c r="JZB49" s="952"/>
      <c r="JZC49" s="952"/>
      <c r="JZD49" s="952"/>
      <c r="JZE49" s="952"/>
      <c r="JZF49" s="952"/>
      <c r="JZG49" s="952"/>
      <c r="JZH49" s="952"/>
      <c r="JZI49" s="952"/>
      <c r="JZJ49" s="952"/>
      <c r="JZK49" s="952"/>
      <c r="JZL49" s="952"/>
      <c r="JZM49" s="952"/>
      <c r="JZN49" s="952"/>
      <c r="JZO49" s="952"/>
      <c r="JZP49" s="952"/>
      <c r="JZQ49" s="952"/>
      <c r="JZR49" s="952"/>
      <c r="JZS49" s="952"/>
      <c r="JZT49" s="952"/>
      <c r="JZU49" s="952"/>
      <c r="JZV49" s="952"/>
      <c r="JZW49" s="952"/>
      <c r="JZX49" s="952"/>
      <c r="JZY49" s="952"/>
      <c r="JZZ49" s="952"/>
      <c r="KAA49" s="952"/>
      <c r="KAB49" s="952"/>
      <c r="KAC49" s="952"/>
      <c r="KAD49" s="952"/>
      <c r="KAE49" s="952"/>
      <c r="KAF49" s="952"/>
      <c r="KAG49" s="952"/>
      <c r="KAH49" s="952"/>
      <c r="KAI49" s="952"/>
      <c r="KAJ49" s="952"/>
      <c r="KAK49" s="952"/>
      <c r="KAL49" s="952"/>
      <c r="KAM49" s="952"/>
      <c r="KAN49" s="952"/>
      <c r="KAO49" s="952"/>
      <c r="KAP49" s="952"/>
      <c r="KAQ49" s="952"/>
      <c r="KAR49" s="952"/>
      <c r="KAS49" s="952"/>
      <c r="KAT49" s="952"/>
      <c r="KAU49" s="952"/>
      <c r="KAV49" s="952"/>
      <c r="KAW49" s="952"/>
      <c r="KAX49" s="952"/>
      <c r="KAY49" s="952"/>
      <c r="KAZ49" s="952"/>
      <c r="KBA49" s="952"/>
      <c r="KBB49" s="952"/>
      <c r="KBC49" s="952"/>
      <c r="KBD49" s="952"/>
      <c r="KBE49" s="952"/>
      <c r="KBF49" s="952"/>
      <c r="KBG49" s="952"/>
      <c r="KBH49" s="952"/>
      <c r="KBI49" s="952"/>
      <c r="KBJ49" s="952"/>
      <c r="KBK49" s="952"/>
      <c r="KBL49" s="952"/>
      <c r="KBM49" s="952"/>
      <c r="KBN49" s="952"/>
      <c r="KBO49" s="952"/>
      <c r="KBP49" s="952"/>
      <c r="KBQ49" s="952"/>
      <c r="KBR49" s="952"/>
      <c r="KBS49" s="952"/>
      <c r="KBT49" s="952"/>
      <c r="KBU49" s="952"/>
      <c r="KBV49" s="952"/>
      <c r="KBW49" s="952"/>
      <c r="KBX49" s="952"/>
      <c r="KBY49" s="952"/>
      <c r="KBZ49" s="952"/>
      <c r="KCA49" s="952"/>
      <c r="KCB49" s="952"/>
      <c r="KCC49" s="952"/>
      <c r="KCD49" s="952"/>
      <c r="KCE49" s="952"/>
      <c r="KCF49" s="952"/>
      <c r="KCG49" s="952"/>
      <c r="KCH49" s="952"/>
      <c r="KCI49" s="952"/>
      <c r="KCJ49" s="952"/>
      <c r="KCK49" s="952"/>
      <c r="KCL49" s="952"/>
      <c r="KCM49" s="952"/>
      <c r="KCN49" s="952"/>
      <c r="KCO49" s="952"/>
      <c r="KCP49" s="952"/>
      <c r="KCQ49" s="952"/>
      <c r="KCR49" s="952"/>
      <c r="KCS49" s="952"/>
      <c r="KCT49" s="952"/>
      <c r="KCU49" s="952"/>
      <c r="KCV49" s="952"/>
      <c r="KCW49" s="952"/>
      <c r="KCX49" s="952"/>
      <c r="KCY49" s="952"/>
      <c r="KCZ49" s="952"/>
      <c r="KDA49" s="952"/>
      <c r="KDB49" s="952"/>
      <c r="KDC49" s="952"/>
      <c r="KDD49" s="952"/>
      <c r="KDE49" s="952"/>
      <c r="KDF49" s="952"/>
      <c r="KDG49" s="952"/>
      <c r="KDH49" s="952"/>
      <c r="KDI49" s="952"/>
      <c r="KDJ49" s="952"/>
      <c r="KDK49" s="952"/>
      <c r="KDL49" s="952"/>
      <c r="KDM49" s="952"/>
      <c r="KDN49" s="952"/>
      <c r="KDO49" s="952"/>
      <c r="KDP49" s="952"/>
      <c r="KDQ49" s="952"/>
      <c r="KDR49" s="952"/>
      <c r="KDS49" s="952"/>
      <c r="KDT49" s="952"/>
      <c r="KDU49" s="952"/>
      <c r="KDV49" s="952"/>
      <c r="KDW49" s="952"/>
      <c r="KDX49" s="952"/>
      <c r="KDY49" s="952"/>
      <c r="KDZ49" s="952"/>
      <c r="KEA49" s="952"/>
      <c r="KEB49" s="952"/>
      <c r="KEC49" s="952"/>
      <c r="KED49" s="952"/>
      <c r="KEE49" s="952"/>
      <c r="KEF49" s="952"/>
      <c r="KEG49" s="952"/>
      <c r="KEH49" s="952"/>
      <c r="KEI49" s="952"/>
      <c r="KEJ49" s="952"/>
      <c r="KEK49" s="952"/>
      <c r="KEL49" s="952"/>
      <c r="KEM49" s="952"/>
      <c r="KEN49" s="952"/>
      <c r="KEO49" s="952"/>
      <c r="KEP49" s="952"/>
      <c r="KEQ49" s="952"/>
      <c r="KER49" s="952"/>
      <c r="KES49" s="952"/>
      <c r="KET49" s="952"/>
      <c r="KEU49" s="952"/>
      <c r="KEV49" s="952"/>
      <c r="KEW49" s="952"/>
      <c r="KEX49" s="952"/>
      <c r="KEY49" s="952"/>
      <c r="KEZ49" s="952"/>
      <c r="KFA49" s="952"/>
      <c r="KFB49" s="952"/>
      <c r="KFC49" s="952"/>
      <c r="KFD49" s="952"/>
      <c r="KFE49" s="952"/>
      <c r="KFF49" s="952"/>
      <c r="KFG49" s="952"/>
      <c r="KFH49" s="952"/>
      <c r="KFI49" s="952"/>
      <c r="KFJ49" s="952"/>
      <c r="KFK49" s="952"/>
      <c r="KFL49" s="952"/>
      <c r="KFM49" s="952"/>
      <c r="KFN49" s="952"/>
      <c r="KFO49" s="952"/>
      <c r="KFP49" s="952"/>
      <c r="KFQ49" s="952"/>
      <c r="KFR49" s="952"/>
      <c r="KFS49" s="952"/>
      <c r="KFT49" s="952"/>
      <c r="KFU49" s="952"/>
      <c r="KFV49" s="952"/>
      <c r="KFW49" s="952"/>
      <c r="KFX49" s="952"/>
      <c r="KFY49" s="952"/>
      <c r="KFZ49" s="952"/>
      <c r="KGA49" s="952"/>
      <c r="KGB49" s="952"/>
      <c r="KGC49" s="952"/>
      <c r="KGD49" s="952"/>
      <c r="KGE49" s="952"/>
      <c r="KGF49" s="952"/>
      <c r="KGG49" s="952"/>
      <c r="KGH49" s="952"/>
      <c r="KGI49" s="952"/>
      <c r="KGJ49" s="952"/>
      <c r="KGK49" s="952"/>
      <c r="KGL49" s="952"/>
      <c r="KGM49" s="952"/>
      <c r="KGN49" s="952"/>
      <c r="KGO49" s="952"/>
      <c r="KGP49" s="952"/>
      <c r="KGQ49" s="952"/>
      <c r="KGR49" s="952"/>
      <c r="KGS49" s="952"/>
      <c r="KGT49" s="952"/>
      <c r="KGU49" s="952"/>
      <c r="KGV49" s="952"/>
      <c r="KGW49" s="952"/>
      <c r="KGX49" s="952"/>
      <c r="KGY49" s="952"/>
      <c r="KGZ49" s="952"/>
      <c r="KHA49" s="952"/>
      <c r="KHB49" s="952"/>
      <c r="KHC49" s="952"/>
      <c r="KHD49" s="952"/>
      <c r="KHE49" s="952"/>
      <c r="KHF49" s="952"/>
      <c r="KHG49" s="952"/>
      <c r="KHH49" s="952"/>
      <c r="KHI49" s="952"/>
      <c r="KHJ49" s="952"/>
      <c r="KHK49" s="952"/>
      <c r="KHL49" s="952"/>
      <c r="KHM49" s="952"/>
      <c r="KHN49" s="952"/>
      <c r="KHO49" s="952"/>
      <c r="KHP49" s="952"/>
      <c r="KHQ49" s="952"/>
      <c r="KHR49" s="952"/>
      <c r="KHS49" s="952"/>
      <c r="KHT49" s="952"/>
      <c r="KHU49" s="952"/>
      <c r="KHV49" s="952"/>
      <c r="KHW49" s="952"/>
      <c r="KHX49" s="952"/>
      <c r="KHY49" s="952"/>
      <c r="KHZ49" s="952"/>
      <c r="KIA49" s="952"/>
      <c r="KIB49" s="952"/>
      <c r="KIC49" s="952"/>
      <c r="KID49" s="952"/>
      <c r="KIE49" s="952"/>
      <c r="KIF49" s="952"/>
      <c r="KIG49" s="952"/>
      <c r="KIH49" s="952"/>
      <c r="KII49" s="952"/>
      <c r="KIJ49" s="952"/>
      <c r="KIK49" s="952"/>
      <c r="KIL49" s="952"/>
      <c r="KIM49" s="952"/>
      <c r="KIN49" s="952"/>
      <c r="KIO49" s="952"/>
      <c r="KIP49" s="952"/>
      <c r="KIQ49" s="952"/>
      <c r="KIR49" s="952"/>
      <c r="KIS49" s="952"/>
      <c r="KIT49" s="952"/>
      <c r="KIU49" s="952"/>
      <c r="KIV49" s="952"/>
      <c r="KIW49" s="952"/>
      <c r="KIX49" s="952"/>
      <c r="KIY49" s="952"/>
      <c r="KIZ49" s="952"/>
      <c r="KJA49" s="952"/>
      <c r="KJB49" s="952"/>
      <c r="KJC49" s="952"/>
      <c r="KJD49" s="952"/>
      <c r="KJE49" s="952"/>
      <c r="KJF49" s="952"/>
      <c r="KJG49" s="952"/>
      <c r="KJH49" s="952"/>
      <c r="KJI49" s="952"/>
      <c r="KJJ49" s="952"/>
      <c r="KJK49" s="952"/>
      <c r="KJL49" s="952"/>
      <c r="KJM49" s="952"/>
      <c r="KJN49" s="952"/>
      <c r="KJO49" s="952"/>
      <c r="KJP49" s="952"/>
      <c r="KJQ49" s="952"/>
      <c r="KJR49" s="952"/>
      <c r="KJS49" s="952"/>
      <c r="KJT49" s="952"/>
      <c r="KJU49" s="952"/>
      <c r="KJV49" s="952"/>
      <c r="KJW49" s="952"/>
      <c r="KJX49" s="952"/>
      <c r="KJY49" s="952"/>
      <c r="KJZ49" s="952"/>
      <c r="KKA49" s="952"/>
      <c r="KKB49" s="952"/>
      <c r="KKC49" s="952"/>
      <c r="KKD49" s="952"/>
      <c r="KKE49" s="952"/>
      <c r="KKF49" s="952"/>
      <c r="KKG49" s="952"/>
      <c r="KKH49" s="952"/>
      <c r="KKI49" s="952"/>
      <c r="KKJ49" s="952"/>
      <c r="KKK49" s="952"/>
      <c r="KKL49" s="952"/>
      <c r="KKM49" s="952"/>
      <c r="KKN49" s="952"/>
      <c r="KKO49" s="952"/>
      <c r="KKP49" s="952"/>
      <c r="KKQ49" s="952"/>
      <c r="KKR49" s="952"/>
      <c r="KKS49" s="952"/>
      <c r="KKT49" s="952"/>
      <c r="KKU49" s="952"/>
      <c r="KKV49" s="952"/>
      <c r="KKW49" s="952"/>
      <c r="KKX49" s="952"/>
      <c r="KKY49" s="952"/>
      <c r="KKZ49" s="952"/>
      <c r="KLA49" s="952"/>
      <c r="KLB49" s="952"/>
      <c r="KLC49" s="952"/>
      <c r="KLD49" s="952"/>
      <c r="KLE49" s="952"/>
      <c r="KLF49" s="952"/>
      <c r="KLG49" s="952"/>
      <c r="KLH49" s="952"/>
      <c r="KLI49" s="952"/>
      <c r="KLJ49" s="952"/>
      <c r="KLK49" s="952"/>
      <c r="KLL49" s="952"/>
      <c r="KLM49" s="952"/>
      <c r="KLN49" s="952"/>
      <c r="KLO49" s="952"/>
      <c r="KLP49" s="952"/>
      <c r="KLQ49" s="952"/>
      <c r="KLR49" s="952"/>
      <c r="KLS49" s="952"/>
      <c r="KLT49" s="952"/>
      <c r="KLU49" s="952"/>
      <c r="KLV49" s="952"/>
      <c r="KLW49" s="952"/>
      <c r="KLX49" s="952"/>
      <c r="KLY49" s="952"/>
      <c r="KLZ49" s="952"/>
      <c r="KMA49" s="952"/>
      <c r="KMB49" s="952"/>
      <c r="KMC49" s="952"/>
      <c r="KMD49" s="952"/>
      <c r="KME49" s="952"/>
      <c r="KMF49" s="952"/>
      <c r="KMG49" s="952"/>
      <c r="KMH49" s="952"/>
      <c r="KMI49" s="952"/>
      <c r="KMJ49" s="952"/>
      <c r="KMK49" s="952"/>
      <c r="KML49" s="952"/>
      <c r="KMM49" s="952"/>
      <c r="KMN49" s="952"/>
      <c r="KMO49" s="952"/>
      <c r="KMP49" s="952"/>
      <c r="KMQ49" s="952"/>
      <c r="KMR49" s="952"/>
      <c r="KMS49" s="952"/>
      <c r="KMT49" s="952"/>
      <c r="KMU49" s="952"/>
      <c r="KMV49" s="952"/>
      <c r="KMW49" s="952"/>
      <c r="KMX49" s="952"/>
      <c r="KMY49" s="952"/>
      <c r="KMZ49" s="952"/>
      <c r="KNA49" s="952"/>
      <c r="KNB49" s="952"/>
      <c r="KNC49" s="952"/>
      <c r="KND49" s="952"/>
      <c r="KNE49" s="952"/>
      <c r="KNF49" s="952"/>
      <c r="KNG49" s="952"/>
      <c r="KNH49" s="952"/>
      <c r="KNI49" s="952"/>
      <c r="KNJ49" s="952"/>
      <c r="KNK49" s="952"/>
      <c r="KNL49" s="952"/>
      <c r="KNM49" s="952"/>
      <c r="KNN49" s="952"/>
      <c r="KNO49" s="952"/>
      <c r="KNP49" s="952"/>
      <c r="KNQ49" s="952"/>
      <c r="KNR49" s="952"/>
      <c r="KNS49" s="952"/>
      <c r="KNT49" s="952"/>
      <c r="KNU49" s="952"/>
      <c r="KNV49" s="952"/>
      <c r="KNW49" s="952"/>
      <c r="KNX49" s="952"/>
      <c r="KNY49" s="952"/>
      <c r="KNZ49" s="952"/>
      <c r="KOA49" s="952"/>
      <c r="KOB49" s="952"/>
      <c r="KOC49" s="952"/>
      <c r="KOD49" s="952"/>
      <c r="KOE49" s="952"/>
      <c r="KOF49" s="952"/>
      <c r="KOG49" s="952"/>
      <c r="KOH49" s="952"/>
      <c r="KOI49" s="952"/>
      <c r="KOJ49" s="952"/>
      <c r="KOK49" s="952"/>
      <c r="KOL49" s="952"/>
      <c r="KOM49" s="952"/>
      <c r="KON49" s="952"/>
      <c r="KOO49" s="952"/>
      <c r="KOP49" s="952"/>
      <c r="KOQ49" s="952"/>
      <c r="KOR49" s="952"/>
      <c r="KOS49" s="952"/>
      <c r="KOT49" s="952"/>
      <c r="KOU49" s="952"/>
      <c r="KOV49" s="952"/>
      <c r="KOW49" s="952"/>
      <c r="KOX49" s="952"/>
      <c r="KOY49" s="952"/>
      <c r="KOZ49" s="952"/>
      <c r="KPA49" s="952"/>
      <c r="KPB49" s="952"/>
      <c r="KPC49" s="952"/>
      <c r="KPD49" s="952"/>
      <c r="KPE49" s="952"/>
      <c r="KPF49" s="952"/>
      <c r="KPG49" s="952"/>
      <c r="KPH49" s="952"/>
      <c r="KPI49" s="952"/>
      <c r="KPJ49" s="952"/>
      <c r="KPK49" s="952"/>
      <c r="KPL49" s="952"/>
      <c r="KPM49" s="952"/>
      <c r="KPN49" s="952"/>
      <c r="KPO49" s="952"/>
      <c r="KPP49" s="952"/>
      <c r="KPQ49" s="952"/>
      <c r="KPR49" s="952"/>
      <c r="KPS49" s="952"/>
      <c r="KPT49" s="952"/>
      <c r="KPU49" s="952"/>
      <c r="KPV49" s="952"/>
      <c r="KPW49" s="952"/>
      <c r="KPX49" s="952"/>
      <c r="KPY49" s="952"/>
      <c r="KPZ49" s="952"/>
      <c r="KQA49" s="952"/>
      <c r="KQB49" s="952"/>
      <c r="KQC49" s="952"/>
      <c r="KQD49" s="952"/>
      <c r="KQE49" s="952"/>
      <c r="KQF49" s="952"/>
      <c r="KQG49" s="952"/>
      <c r="KQH49" s="952"/>
      <c r="KQI49" s="952"/>
      <c r="KQJ49" s="952"/>
      <c r="KQK49" s="952"/>
      <c r="KQL49" s="952"/>
      <c r="KQM49" s="952"/>
      <c r="KQN49" s="952"/>
      <c r="KQO49" s="952"/>
      <c r="KQP49" s="952"/>
      <c r="KQQ49" s="952"/>
      <c r="KQR49" s="952"/>
      <c r="KQS49" s="952"/>
      <c r="KQT49" s="952"/>
      <c r="KQU49" s="952"/>
      <c r="KQV49" s="952"/>
      <c r="KQW49" s="952"/>
      <c r="KQX49" s="952"/>
      <c r="KQY49" s="952"/>
      <c r="KQZ49" s="952"/>
      <c r="KRA49" s="952"/>
      <c r="KRB49" s="952"/>
      <c r="KRC49" s="952"/>
      <c r="KRD49" s="952"/>
      <c r="KRE49" s="952"/>
      <c r="KRF49" s="952"/>
      <c r="KRG49" s="952"/>
      <c r="KRH49" s="952"/>
      <c r="KRI49" s="952"/>
      <c r="KRJ49" s="952"/>
      <c r="KRK49" s="952"/>
      <c r="KRL49" s="952"/>
      <c r="KRM49" s="952"/>
      <c r="KRN49" s="952"/>
      <c r="KRO49" s="952"/>
      <c r="KRP49" s="952"/>
      <c r="KRQ49" s="952"/>
      <c r="KRR49" s="952"/>
      <c r="KRS49" s="952"/>
      <c r="KRT49" s="952"/>
      <c r="KRU49" s="952"/>
      <c r="KRV49" s="952"/>
      <c r="KRW49" s="952"/>
      <c r="KRX49" s="952"/>
      <c r="KRY49" s="952"/>
      <c r="KRZ49" s="952"/>
      <c r="KSA49" s="952"/>
      <c r="KSB49" s="952"/>
      <c r="KSC49" s="952"/>
      <c r="KSD49" s="952"/>
      <c r="KSE49" s="952"/>
      <c r="KSF49" s="952"/>
      <c r="KSG49" s="952"/>
      <c r="KSH49" s="952"/>
      <c r="KSI49" s="952"/>
      <c r="KSJ49" s="952"/>
      <c r="KSK49" s="952"/>
      <c r="KSL49" s="952"/>
      <c r="KSM49" s="952"/>
      <c r="KSN49" s="952"/>
      <c r="KSO49" s="952"/>
      <c r="KSP49" s="952"/>
      <c r="KSQ49" s="952"/>
      <c r="KSR49" s="952"/>
      <c r="KSS49" s="952"/>
      <c r="KST49" s="952"/>
      <c r="KSU49" s="952"/>
      <c r="KSV49" s="952"/>
      <c r="KSW49" s="952"/>
      <c r="KSX49" s="952"/>
      <c r="KSY49" s="952"/>
      <c r="KSZ49" s="952"/>
      <c r="KTA49" s="952"/>
      <c r="KTB49" s="952"/>
      <c r="KTC49" s="952"/>
      <c r="KTD49" s="952"/>
      <c r="KTE49" s="952"/>
      <c r="KTF49" s="952"/>
      <c r="KTG49" s="952"/>
      <c r="KTH49" s="952"/>
      <c r="KTI49" s="952"/>
      <c r="KTJ49" s="952"/>
      <c r="KTK49" s="952"/>
      <c r="KTL49" s="952"/>
      <c r="KTM49" s="952"/>
      <c r="KTN49" s="952"/>
      <c r="KTO49" s="952"/>
      <c r="KTP49" s="952"/>
      <c r="KTQ49" s="952"/>
      <c r="KTR49" s="952"/>
      <c r="KTS49" s="952"/>
      <c r="KTT49" s="952"/>
      <c r="KTU49" s="952"/>
      <c r="KTV49" s="952"/>
      <c r="KTW49" s="952"/>
      <c r="KTX49" s="952"/>
      <c r="KTY49" s="952"/>
      <c r="KTZ49" s="952"/>
      <c r="KUA49" s="952"/>
      <c r="KUB49" s="952"/>
      <c r="KUC49" s="952"/>
      <c r="KUD49" s="952"/>
      <c r="KUE49" s="952"/>
      <c r="KUF49" s="952"/>
      <c r="KUG49" s="952"/>
      <c r="KUH49" s="952"/>
      <c r="KUI49" s="952"/>
      <c r="KUJ49" s="952"/>
      <c r="KUK49" s="952"/>
      <c r="KUL49" s="952"/>
      <c r="KUM49" s="952"/>
      <c r="KUN49" s="952"/>
      <c r="KUO49" s="952"/>
      <c r="KUP49" s="952"/>
      <c r="KUQ49" s="952"/>
      <c r="KUR49" s="952"/>
      <c r="KUS49" s="952"/>
      <c r="KUT49" s="952"/>
      <c r="KUU49" s="952"/>
      <c r="KUV49" s="952"/>
      <c r="KUW49" s="952"/>
      <c r="KUX49" s="952"/>
      <c r="KUY49" s="952"/>
      <c r="KUZ49" s="952"/>
      <c r="KVA49" s="952"/>
      <c r="KVB49" s="952"/>
      <c r="KVC49" s="952"/>
      <c r="KVD49" s="952"/>
      <c r="KVE49" s="952"/>
      <c r="KVF49" s="952"/>
      <c r="KVG49" s="952"/>
      <c r="KVH49" s="952"/>
      <c r="KVI49" s="952"/>
      <c r="KVJ49" s="952"/>
      <c r="KVK49" s="952"/>
      <c r="KVL49" s="952"/>
      <c r="KVM49" s="952"/>
      <c r="KVN49" s="952"/>
      <c r="KVO49" s="952"/>
      <c r="KVP49" s="952"/>
      <c r="KVQ49" s="952"/>
      <c r="KVR49" s="952"/>
      <c r="KVS49" s="952"/>
      <c r="KVT49" s="952"/>
      <c r="KVU49" s="952"/>
      <c r="KVV49" s="952"/>
      <c r="KVW49" s="952"/>
      <c r="KVX49" s="952"/>
      <c r="KVY49" s="952"/>
      <c r="KVZ49" s="952"/>
      <c r="KWA49" s="952"/>
      <c r="KWB49" s="952"/>
      <c r="KWC49" s="952"/>
      <c r="KWD49" s="952"/>
      <c r="KWE49" s="952"/>
      <c r="KWF49" s="952"/>
      <c r="KWG49" s="952"/>
      <c r="KWH49" s="952"/>
      <c r="KWI49" s="952"/>
      <c r="KWJ49" s="952"/>
      <c r="KWK49" s="952"/>
      <c r="KWL49" s="952"/>
      <c r="KWM49" s="952"/>
      <c r="KWN49" s="952"/>
      <c r="KWO49" s="952"/>
      <c r="KWP49" s="952"/>
      <c r="KWQ49" s="952"/>
      <c r="KWR49" s="952"/>
      <c r="KWS49" s="952"/>
      <c r="KWT49" s="952"/>
      <c r="KWU49" s="952"/>
      <c r="KWV49" s="952"/>
      <c r="KWW49" s="952"/>
      <c r="KWX49" s="952"/>
      <c r="KWY49" s="952"/>
      <c r="KWZ49" s="952"/>
      <c r="KXA49" s="952"/>
      <c r="KXB49" s="952"/>
      <c r="KXC49" s="952"/>
      <c r="KXD49" s="952"/>
      <c r="KXE49" s="952"/>
      <c r="KXF49" s="952"/>
      <c r="KXG49" s="952"/>
      <c r="KXH49" s="952"/>
      <c r="KXI49" s="952"/>
      <c r="KXJ49" s="952"/>
      <c r="KXK49" s="952"/>
      <c r="KXL49" s="952"/>
      <c r="KXM49" s="952"/>
      <c r="KXN49" s="952"/>
      <c r="KXO49" s="952"/>
      <c r="KXP49" s="952"/>
      <c r="KXQ49" s="952"/>
      <c r="KXR49" s="952"/>
      <c r="KXS49" s="952"/>
      <c r="KXT49" s="952"/>
      <c r="KXU49" s="952"/>
      <c r="KXV49" s="952"/>
      <c r="KXW49" s="952"/>
      <c r="KXX49" s="952"/>
      <c r="KXY49" s="952"/>
      <c r="KXZ49" s="952"/>
      <c r="KYA49" s="952"/>
      <c r="KYB49" s="952"/>
      <c r="KYC49" s="952"/>
      <c r="KYD49" s="952"/>
      <c r="KYE49" s="952"/>
      <c r="KYF49" s="952"/>
      <c r="KYG49" s="952"/>
      <c r="KYH49" s="952"/>
      <c r="KYI49" s="952"/>
      <c r="KYJ49" s="952"/>
      <c r="KYK49" s="952"/>
      <c r="KYL49" s="952"/>
      <c r="KYM49" s="952"/>
      <c r="KYN49" s="952"/>
      <c r="KYO49" s="952"/>
      <c r="KYP49" s="952"/>
      <c r="KYQ49" s="952"/>
      <c r="KYR49" s="952"/>
      <c r="KYS49" s="952"/>
      <c r="KYT49" s="952"/>
      <c r="KYU49" s="952"/>
      <c r="KYV49" s="952"/>
      <c r="KYW49" s="952"/>
      <c r="KYX49" s="952"/>
      <c r="KYY49" s="952"/>
      <c r="KYZ49" s="952"/>
      <c r="KZA49" s="952"/>
      <c r="KZB49" s="952"/>
      <c r="KZC49" s="952"/>
      <c r="KZD49" s="952"/>
      <c r="KZE49" s="952"/>
      <c r="KZF49" s="952"/>
      <c r="KZG49" s="952"/>
      <c r="KZH49" s="952"/>
      <c r="KZI49" s="952"/>
      <c r="KZJ49" s="952"/>
      <c r="KZK49" s="952"/>
      <c r="KZL49" s="952"/>
      <c r="KZM49" s="952"/>
      <c r="KZN49" s="952"/>
      <c r="KZO49" s="952"/>
      <c r="KZP49" s="952"/>
      <c r="KZQ49" s="952"/>
      <c r="KZR49" s="952"/>
      <c r="KZS49" s="952"/>
      <c r="KZT49" s="952"/>
      <c r="KZU49" s="952"/>
      <c r="KZV49" s="952"/>
      <c r="KZW49" s="952"/>
      <c r="KZX49" s="952"/>
      <c r="KZY49" s="952"/>
      <c r="KZZ49" s="952"/>
      <c r="LAA49" s="952"/>
      <c r="LAB49" s="952"/>
      <c r="LAC49" s="952"/>
      <c r="LAD49" s="952"/>
      <c r="LAE49" s="952"/>
      <c r="LAF49" s="952"/>
      <c r="LAG49" s="952"/>
      <c r="LAH49" s="952"/>
      <c r="LAI49" s="952"/>
      <c r="LAJ49" s="952"/>
      <c r="LAK49" s="952"/>
      <c r="LAL49" s="952"/>
      <c r="LAM49" s="952"/>
      <c r="LAN49" s="952"/>
      <c r="LAO49" s="952"/>
      <c r="LAP49" s="952"/>
      <c r="LAQ49" s="952"/>
      <c r="LAR49" s="952"/>
      <c r="LAS49" s="952"/>
      <c r="LAT49" s="952"/>
      <c r="LAU49" s="952"/>
      <c r="LAV49" s="952"/>
      <c r="LAW49" s="952"/>
      <c r="LAX49" s="952"/>
      <c r="LAY49" s="952"/>
      <c r="LAZ49" s="952"/>
      <c r="LBA49" s="952"/>
      <c r="LBB49" s="952"/>
      <c r="LBC49" s="952"/>
      <c r="LBD49" s="952"/>
      <c r="LBE49" s="952"/>
      <c r="LBF49" s="952"/>
      <c r="LBG49" s="952"/>
      <c r="LBH49" s="952"/>
      <c r="LBI49" s="952"/>
      <c r="LBJ49" s="952"/>
      <c r="LBK49" s="952"/>
      <c r="LBL49" s="952"/>
      <c r="LBM49" s="952"/>
      <c r="LBN49" s="952"/>
      <c r="LBO49" s="952"/>
      <c r="LBP49" s="952"/>
      <c r="LBQ49" s="952"/>
      <c r="LBR49" s="952"/>
      <c r="LBS49" s="952"/>
      <c r="LBT49" s="952"/>
      <c r="LBU49" s="952"/>
      <c r="LBV49" s="952"/>
      <c r="LBW49" s="952"/>
      <c r="LBX49" s="952"/>
      <c r="LBY49" s="952"/>
      <c r="LBZ49" s="952"/>
      <c r="LCA49" s="952"/>
      <c r="LCB49" s="952"/>
      <c r="LCC49" s="952"/>
      <c r="LCD49" s="952"/>
      <c r="LCE49" s="952"/>
      <c r="LCF49" s="952"/>
      <c r="LCG49" s="952"/>
      <c r="LCH49" s="952"/>
      <c r="LCI49" s="952"/>
      <c r="LCJ49" s="952"/>
      <c r="LCK49" s="952"/>
      <c r="LCL49" s="952"/>
      <c r="LCM49" s="952"/>
      <c r="LCN49" s="952"/>
      <c r="LCO49" s="952"/>
      <c r="LCP49" s="952"/>
      <c r="LCQ49" s="952"/>
      <c r="LCR49" s="952"/>
      <c r="LCS49" s="952"/>
      <c r="LCT49" s="952"/>
      <c r="LCU49" s="952"/>
      <c r="LCV49" s="952"/>
      <c r="LCW49" s="952"/>
      <c r="LCX49" s="952"/>
      <c r="LCY49" s="952"/>
      <c r="LCZ49" s="952"/>
      <c r="LDA49" s="952"/>
      <c r="LDB49" s="952"/>
      <c r="LDC49" s="952"/>
      <c r="LDD49" s="952"/>
      <c r="LDE49" s="952"/>
      <c r="LDF49" s="952"/>
      <c r="LDG49" s="952"/>
      <c r="LDH49" s="952"/>
      <c r="LDI49" s="952"/>
      <c r="LDJ49" s="952"/>
      <c r="LDK49" s="952"/>
      <c r="LDL49" s="952"/>
      <c r="LDM49" s="952"/>
      <c r="LDN49" s="952"/>
      <c r="LDO49" s="952"/>
      <c r="LDP49" s="952"/>
      <c r="LDQ49" s="952"/>
      <c r="LDR49" s="952"/>
      <c r="LDS49" s="952"/>
      <c r="LDT49" s="952"/>
      <c r="LDU49" s="952"/>
      <c r="LDV49" s="952"/>
      <c r="LDW49" s="952"/>
      <c r="LDX49" s="952"/>
      <c r="LDY49" s="952"/>
      <c r="LDZ49" s="952"/>
      <c r="LEA49" s="952"/>
      <c r="LEB49" s="952"/>
      <c r="LEC49" s="952"/>
      <c r="LED49" s="952"/>
      <c r="LEE49" s="952"/>
      <c r="LEF49" s="952"/>
      <c r="LEG49" s="952"/>
      <c r="LEH49" s="952"/>
      <c r="LEI49" s="952"/>
      <c r="LEJ49" s="952"/>
      <c r="LEK49" s="952"/>
      <c r="LEL49" s="952"/>
      <c r="LEM49" s="952"/>
      <c r="LEN49" s="952"/>
      <c r="LEO49" s="952"/>
      <c r="LEP49" s="952"/>
      <c r="LEQ49" s="952"/>
      <c r="LER49" s="952"/>
      <c r="LES49" s="952"/>
      <c r="LET49" s="952"/>
      <c r="LEU49" s="952"/>
      <c r="LEV49" s="952"/>
      <c r="LEW49" s="952"/>
      <c r="LEX49" s="952"/>
      <c r="LEY49" s="952"/>
      <c r="LEZ49" s="952"/>
      <c r="LFA49" s="952"/>
      <c r="LFB49" s="952"/>
      <c r="LFC49" s="952"/>
      <c r="LFD49" s="952"/>
      <c r="LFE49" s="952"/>
      <c r="LFF49" s="952"/>
      <c r="LFG49" s="952"/>
      <c r="LFH49" s="952"/>
      <c r="LFI49" s="952"/>
      <c r="LFJ49" s="952"/>
      <c r="LFK49" s="952"/>
      <c r="LFL49" s="952"/>
      <c r="LFM49" s="952"/>
      <c r="LFN49" s="952"/>
      <c r="LFO49" s="952"/>
      <c r="LFP49" s="952"/>
      <c r="LFQ49" s="952"/>
      <c r="LFR49" s="952"/>
      <c r="LFS49" s="952"/>
      <c r="LFT49" s="952"/>
      <c r="LFU49" s="952"/>
      <c r="LFV49" s="952"/>
      <c r="LFW49" s="952"/>
      <c r="LFX49" s="952"/>
      <c r="LFY49" s="952"/>
      <c r="LFZ49" s="952"/>
      <c r="LGA49" s="952"/>
      <c r="LGB49" s="952"/>
      <c r="LGC49" s="952"/>
      <c r="LGD49" s="952"/>
      <c r="LGE49" s="952"/>
      <c r="LGF49" s="952"/>
      <c r="LGG49" s="952"/>
      <c r="LGH49" s="952"/>
      <c r="LGI49" s="952"/>
      <c r="LGJ49" s="952"/>
      <c r="LGK49" s="952"/>
      <c r="LGL49" s="952"/>
      <c r="LGM49" s="952"/>
      <c r="LGN49" s="952"/>
      <c r="LGO49" s="952"/>
      <c r="LGP49" s="952"/>
      <c r="LGQ49" s="952"/>
      <c r="LGR49" s="952"/>
      <c r="LGS49" s="952"/>
      <c r="LGT49" s="952"/>
      <c r="LGU49" s="952"/>
      <c r="LGV49" s="952"/>
      <c r="LGW49" s="952"/>
      <c r="LGX49" s="952"/>
      <c r="LGY49" s="952"/>
      <c r="LGZ49" s="952"/>
      <c r="LHA49" s="952"/>
      <c r="LHB49" s="952"/>
      <c r="LHC49" s="952"/>
      <c r="LHD49" s="952"/>
      <c r="LHE49" s="952"/>
      <c r="LHF49" s="952"/>
      <c r="LHG49" s="952"/>
      <c r="LHH49" s="952"/>
      <c r="LHI49" s="952"/>
      <c r="LHJ49" s="952"/>
      <c r="LHK49" s="952"/>
      <c r="LHL49" s="952"/>
      <c r="LHM49" s="952"/>
      <c r="LHN49" s="952"/>
      <c r="LHO49" s="952"/>
      <c r="LHP49" s="952"/>
      <c r="LHQ49" s="952"/>
      <c r="LHR49" s="952"/>
      <c r="LHS49" s="952"/>
      <c r="LHT49" s="952"/>
      <c r="LHU49" s="952"/>
      <c r="LHV49" s="952"/>
      <c r="LHW49" s="952"/>
      <c r="LHX49" s="952"/>
      <c r="LHY49" s="952"/>
      <c r="LHZ49" s="952"/>
      <c r="LIA49" s="952"/>
      <c r="LIB49" s="952"/>
      <c r="LIC49" s="952"/>
      <c r="LID49" s="952"/>
      <c r="LIE49" s="952"/>
      <c r="LIF49" s="952"/>
      <c r="LIG49" s="952"/>
      <c r="LIH49" s="952"/>
      <c r="LII49" s="952"/>
      <c r="LIJ49" s="952"/>
      <c r="LIK49" s="952"/>
      <c r="LIL49" s="952"/>
      <c r="LIM49" s="952"/>
      <c r="LIN49" s="952"/>
      <c r="LIO49" s="952"/>
      <c r="LIP49" s="952"/>
      <c r="LIQ49" s="952"/>
      <c r="LIR49" s="952"/>
      <c r="LIS49" s="952"/>
      <c r="LIT49" s="952"/>
      <c r="LIU49" s="952"/>
      <c r="LIV49" s="952"/>
      <c r="LIW49" s="952"/>
      <c r="LIX49" s="952"/>
      <c r="LIY49" s="952"/>
      <c r="LIZ49" s="952"/>
      <c r="LJA49" s="952"/>
      <c r="LJB49" s="952"/>
      <c r="LJC49" s="952"/>
      <c r="LJD49" s="952"/>
      <c r="LJE49" s="952"/>
      <c r="LJF49" s="952"/>
      <c r="LJG49" s="952"/>
      <c r="LJH49" s="952"/>
      <c r="LJI49" s="952"/>
      <c r="LJJ49" s="952"/>
      <c r="LJK49" s="952"/>
      <c r="LJL49" s="952"/>
      <c r="LJM49" s="952"/>
      <c r="LJN49" s="952"/>
      <c r="LJO49" s="952"/>
      <c r="LJP49" s="952"/>
      <c r="LJQ49" s="952"/>
      <c r="LJR49" s="952"/>
      <c r="LJS49" s="952"/>
      <c r="LJT49" s="952"/>
      <c r="LJU49" s="952"/>
      <c r="LJV49" s="952"/>
      <c r="LJW49" s="952"/>
      <c r="LJX49" s="952"/>
      <c r="LJY49" s="952"/>
      <c r="LJZ49" s="952"/>
      <c r="LKA49" s="952"/>
      <c r="LKB49" s="952"/>
      <c r="LKC49" s="952"/>
      <c r="LKD49" s="952"/>
      <c r="LKE49" s="952"/>
      <c r="LKF49" s="952"/>
      <c r="LKG49" s="952"/>
      <c r="LKH49" s="952"/>
      <c r="LKI49" s="952"/>
      <c r="LKJ49" s="952"/>
      <c r="LKK49" s="952"/>
      <c r="LKL49" s="952"/>
      <c r="LKM49" s="952"/>
      <c r="LKN49" s="952"/>
      <c r="LKO49" s="952"/>
      <c r="LKP49" s="952"/>
      <c r="LKQ49" s="952"/>
      <c r="LKR49" s="952"/>
      <c r="LKS49" s="952"/>
      <c r="LKT49" s="952"/>
      <c r="LKU49" s="952"/>
      <c r="LKV49" s="952"/>
      <c r="LKW49" s="952"/>
      <c r="LKX49" s="952"/>
      <c r="LKY49" s="952"/>
      <c r="LKZ49" s="952"/>
      <c r="LLA49" s="952"/>
      <c r="LLB49" s="952"/>
      <c r="LLC49" s="952"/>
      <c r="LLD49" s="952"/>
      <c r="LLE49" s="952"/>
      <c r="LLF49" s="952"/>
      <c r="LLG49" s="952"/>
      <c r="LLH49" s="952"/>
      <c r="LLI49" s="952"/>
      <c r="LLJ49" s="952"/>
      <c r="LLK49" s="952"/>
      <c r="LLL49" s="952"/>
      <c r="LLM49" s="952"/>
      <c r="LLN49" s="952"/>
      <c r="LLO49" s="952"/>
      <c r="LLP49" s="952"/>
      <c r="LLQ49" s="952"/>
      <c r="LLR49" s="952"/>
      <c r="LLS49" s="952"/>
      <c r="LLT49" s="952"/>
      <c r="LLU49" s="952"/>
      <c r="LLV49" s="952"/>
      <c r="LLW49" s="952"/>
      <c r="LLX49" s="952"/>
      <c r="LLY49" s="952"/>
      <c r="LLZ49" s="952"/>
      <c r="LMA49" s="952"/>
      <c r="LMB49" s="952"/>
      <c r="LMC49" s="952"/>
      <c r="LMD49" s="952"/>
      <c r="LME49" s="952"/>
      <c r="LMF49" s="952"/>
      <c r="LMG49" s="952"/>
      <c r="LMH49" s="952"/>
      <c r="LMI49" s="952"/>
      <c r="LMJ49" s="952"/>
      <c r="LMK49" s="952"/>
      <c r="LML49" s="952"/>
      <c r="LMM49" s="952"/>
      <c r="LMN49" s="952"/>
      <c r="LMO49" s="952"/>
      <c r="LMP49" s="952"/>
      <c r="LMQ49" s="952"/>
      <c r="LMR49" s="952"/>
      <c r="LMS49" s="952"/>
      <c r="LMT49" s="952"/>
      <c r="LMU49" s="952"/>
      <c r="LMV49" s="952"/>
      <c r="LMW49" s="952"/>
      <c r="LMX49" s="952"/>
      <c r="LMY49" s="952"/>
      <c r="LMZ49" s="952"/>
      <c r="LNA49" s="952"/>
      <c r="LNB49" s="952"/>
      <c r="LNC49" s="952"/>
      <c r="LND49" s="952"/>
      <c r="LNE49" s="952"/>
      <c r="LNF49" s="952"/>
      <c r="LNG49" s="952"/>
      <c r="LNH49" s="952"/>
      <c r="LNI49" s="952"/>
      <c r="LNJ49" s="952"/>
      <c r="LNK49" s="952"/>
      <c r="LNL49" s="952"/>
      <c r="LNM49" s="952"/>
      <c r="LNN49" s="952"/>
      <c r="LNO49" s="952"/>
      <c r="LNP49" s="952"/>
      <c r="LNQ49" s="952"/>
      <c r="LNR49" s="952"/>
      <c r="LNS49" s="952"/>
      <c r="LNT49" s="952"/>
      <c r="LNU49" s="952"/>
      <c r="LNV49" s="952"/>
      <c r="LNW49" s="952"/>
      <c r="LNX49" s="952"/>
      <c r="LNY49" s="952"/>
      <c r="LNZ49" s="952"/>
      <c r="LOA49" s="952"/>
      <c r="LOB49" s="952"/>
      <c r="LOC49" s="952"/>
      <c r="LOD49" s="952"/>
      <c r="LOE49" s="952"/>
      <c r="LOF49" s="952"/>
      <c r="LOG49" s="952"/>
      <c r="LOH49" s="952"/>
      <c r="LOI49" s="952"/>
      <c r="LOJ49" s="952"/>
      <c r="LOK49" s="952"/>
      <c r="LOL49" s="952"/>
      <c r="LOM49" s="952"/>
      <c r="LON49" s="952"/>
      <c r="LOO49" s="952"/>
      <c r="LOP49" s="952"/>
      <c r="LOQ49" s="952"/>
      <c r="LOR49" s="952"/>
      <c r="LOS49" s="952"/>
      <c r="LOT49" s="952"/>
      <c r="LOU49" s="952"/>
      <c r="LOV49" s="952"/>
      <c r="LOW49" s="952"/>
      <c r="LOX49" s="952"/>
      <c r="LOY49" s="952"/>
      <c r="LOZ49" s="952"/>
      <c r="LPA49" s="952"/>
      <c r="LPB49" s="952"/>
      <c r="LPC49" s="952"/>
      <c r="LPD49" s="952"/>
      <c r="LPE49" s="952"/>
      <c r="LPF49" s="952"/>
      <c r="LPG49" s="952"/>
      <c r="LPH49" s="952"/>
      <c r="LPI49" s="952"/>
      <c r="LPJ49" s="952"/>
      <c r="LPK49" s="952"/>
      <c r="LPL49" s="952"/>
      <c r="LPM49" s="952"/>
      <c r="LPN49" s="952"/>
      <c r="LPO49" s="952"/>
      <c r="LPP49" s="952"/>
      <c r="LPQ49" s="952"/>
      <c r="LPR49" s="952"/>
      <c r="LPS49" s="952"/>
      <c r="LPT49" s="952"/>
      <c r="LPU49" s="952"/>
      <c r="LPV49" s="952"/>
      <c r="LPW49" s="952"/>
      <c r="LPX49" s="952"/>
      <c r="LPY49" s="952"/>
      <c r="LPZ49" s="952"/>
      <c r="LQA49" s="952"/>
      <c r="LQB49" s="952"/>
      <c r="LQC49" s="952"/>
      <c r="LQD49" s="952"/>
      <c r="LQE49" s="952"/>
      <c r="LQF49" s="952"/>
      <c r="LQG49" s="952"/>
      <c r="LQH49" s="952"/>
      <c r="LQI49" s="952"/>
      <c r="LQJ49" s="952"/>
      <c r="LQK49" s="952"/>
      <c r="LQL49" s="952"/>
      <c r="LQM49" s="952"/>
      <c r="LQN49" s="952"/>
      <c r="LQO49" s="952"/>
      <c r="LQP49" s="952"/>
      <c r="LQQ49" s="952"/>
      <c r="LQR49" s="952"/>
      <c r="LQS49" s="952"/>
      <c r="LQT49" s="952"/>
      <c r="LQU49" s="952"/>
      <c r="LQV49" s="952"/>
      <c r="LQW49" s="952"/>
      <c r="LQX49" s="952"/>
      <c r="LQY49" s="952"/>
      <c r="LQZ49" s="952"/>
      <c r="LRA49" s="952"/>
      <c r="LRB49" s="952"/>
      <c r="LRC49" s="952"/>
      <c r="LRD49" s="952"/>
      <c r="LRE49" s="952"/>
      <c r="LRF49" s="952"/>
      <c r="LRG49" s="952"/>
      <c r="LRH49" s="952"/>
      <c r="LRI49" s="952"/>
      <c r="LRJ49" s="952"/>
      <c r="LRK49" s="952"/>
      <c r="LRL49" s="952"/>
      <c r="LRM49" s="952"/>
      <c r="LRN49" s="952"/>
      <c r="LRO49" s="952"/>
      <c r="LRP49" s="952"/>
      <c r="LRQ49" s="952"/>
      <c r="LRR49" s="952"/>
      <c r="LRS49" s="952"/>
      <c r="LRT49" s="952"/>
      <c r="LRU49" s="952"/>
      <c r="LRV49" s="952"/>
      <c r="LRW49" s="952"/>
      <c r="LRX49" s="952"/>
      <c r="LRY49" s="952"/>
      <c r="LRZ49" s="952"/>
      <c r="LSA49" s="952"/>
      <c r="LSB49" s="952"/>
      <c r="LSC49" s="952"/>
      <c r="LSD49" s="952"/>
      <c r="LSE49" s="952"/>
      <c r="LSF49" s="952"/>
      <c r="LSG49" s="952"/>
      <c r="LSH49" s="952"/>
      <c r="LSI49" s="952"/>
      <c r="LSJ49" s="952"/>
      <c r="LSK49" s="952"/>
      <c r="LSL49" s="952"/>
      <c r="LSM49" s="952"/>
      <c r="LSN49" s="952"/>
      <c r="LSO49" s="952"/>
      <c r="LSP49" s="952"/>
      <c r="LSQ49" s="952"/>
      <c r="LSR49" s="952"/>
      <c r="LSS49" s="952"/>
      <c r="LST49" s="952"/>
      <c r="LSU49" s="952"/>
      <c r="LSV49" s="952"/>
      <c r="LSW49" s="952"/>
      <c r="LSX49" s="952"/>
      <c r="LSY49" s="952"/>
      <c r="LSZ49" s="952"/>
      <c r="LTA49" s="952"/>
      <c r="LTB49" s="952"/>
      <c r="LTC49" s="952"/>
      <c r="LTD49" s="952"/>
      <c r="LTE49" s="952"/>
      <c r="LTF49" s="952"/>
      <c r="LTG49" s="952"/>
      <c r="LTH49" s="952"/>
      <c r="LTI49" s="952"/>
      <c r="LTJ49" s="952"/>
      <c r="LTK49" s="952"/>
      <c r="LTL49" s="952"/>
      <c r="LTM49" s="952"/>
      <c r="LTN49" s="952"/>
      <c r="LTO49" s="952"/>
      <c r="LTP49" s="952"/>
      <c r="LTQ49" s="952"/>
      <c r="LTR49" s="952"/>
      <c r="LTS49" s="952"/>
      <c r="LTT49" s="952"/>
      <c r="LTU49" s="952"/>
      <c r="LTV49" s="952"/>
      <c r="LTW49" s="952"/>
      <c r="LTX49" s="952"/>
      <c r="LTY49" s="952"/>
      <c r="LTZ49" s="952"/>
      <c r="LUA49" s="952"/>
      <c r="LUB49" s="952"/>
      <c r="LUC49" s="952"/>
      <c r="LUD49" s="952"/>
      <c r="LUE49" s="952"/>
      <c r="LUF49" s="952"/>
      <c r="LUG49" s="952"/>
      <c r="LUH49" s="952"/>
      <c r="LUI49" s="952"/>
      <c r="LUJ49" s="952"/>
      <c r="LUK49" s="952"/>
      <c r="LUL49" s="952"/>
      <c r="LUM49" s="952"/>
      <c r="LUN49" s="952"/>
      <c r="LUO49" s="952"/>
      <c r="LUP49" s="952"/>
      <c r="LUQ49" s="952"/>
      <c r="LUR49" s="952"/>
      <c r="LUS49" s="952"/>
      <c r="LUT49" s="952"/>
      <c r="LUU49" s="952"/>
      <c r="LUV49" s="952"/>
      <c r="LUW49" s="952"/>
      <c r="LUX49" s="952"/>
      <c r="LUY49" s="952"/>
      <c r="LUZ49" s="952"/>
      <c r="LVA49" s="952"/>
      <c r="LVB49" s="952"/>
      <c r="LVC49" s="952"/>
      <c r="LVD49" s="952"/>
      <c r="LVE49" s="952"/>
      <c r="LVF49" s="952"/>
      <c r="LVG49" s="952"/>
      <c r="LVH49" s="952"/>
      <c r="LVI49" s="952"/>
      <c r="LVJ49" s="952"/>
      <c r="LVK49" s="952"/>
      <c r="LVL49" s="952"/>
      <c r="LVM49" s="952"/>
      <c r="LVN49" s="952"/>
      <c r="LVO49" s="952"/>
      <c r="LVP49" s="952"/>
      <c r="LVQ49" s="952"/>
      <c r="LVR49" s="952"/>
      <c r="LVS49" s="952"/>
      <c r="LVT49" s="952"/>
      <c r="LVU49" s="952"/>
      <c r="LVV49" s="952"/>
      <c r="LVW49" s="952"/>
      <c r="LVX49" s="952"/>
      <c r="LVY49" s="952"/>
      <c r="LVZ49" s="952"/>
      <c r="LWA49" s="952"/>
      <c r="LWB49" s="952"/>
      <c r="LWC49" s="952"/>
      <c r="LWD49" s="952"/>
      <c r="LWE49" s="952"/>
      <c r="LWF49" s="952"/>
      <c r="LWG49" s="952"/>
      <c r="LWH49" s="952"/>
      <c r="LWI49" s="952"/>
      <c r="LWJ49" s="952"/>
      <c r="LWK49" s="952"/>
      <c r="LWL49" s="952"/>
      <c r="LWM49" s="952"/>
      <c r="LWN49" s="952"/>
      <c r="LWO49" s="952"/>
      <c r="LWP49" s="952"/>
      <c r="LWQ49" s="952"/>
      <c r="LWR49" s="952"/>
      <c r="LWS49" s="952"/>
      <c r="LWT49" s="952"/>
      <c r="LWU49" s="952"/>
      <c r="LWV49" s="952"/>
      <c r="LWW49" s="952"/>
      <c r="LWX49" s="952"/>
      <c r="LWY49" s="952"/>
      <c r="LWZ49" s="952"/>
      <c r="LXA49" s="952"/>
      <c r="LXB49" s="952"/>
      <c r="LXC49" s="952"/>
      <c r="LXD49" s="952"/>
      <c r="LXE49" s="952"/>
      <c r="LXF49" s="952"/>
      <c r="LXG49" s="952"/>
      <c r="LXH49" s="952"/>
      <c r="LXI49" s="952"/>
      <c r="LXJ49" s="952"/>
      <c r="LXK49" s="952"/>
      <c r="LXL49" s="952"/>
      <c r="LXM49" s="952"/>
      <c r="LXN49" s="952"/>
      <c r="LXO49" s="952"/>
      <c r="LXP49" s="952"/>
      <c r="LXQ49" s="952"/>
      <c r="LXR49" s="952"/>
      <c r="LXS49" s="952"/>
      <c r="LXT49" s="952"/>
      <c r="LXU49" s="952"/>
      <c r="LXV49" s="952"/>
      <c r="LXW49" s="952"/>
      <c r="LXX49" s="952"/>
      <c r="LXY49" s="952"/>
      <c r="LXZ49" s="952"/>
      <c r="LYA49" s="952"/>
      <c r="LYB49" s="952"/>
      <c r="LYC49" s="952"/>
      <c r="LYD49" s="952"/>
      <c r="LYE49" s="952"/>
      <c r="LYF49" s="952"/>
      <c r="LYG49" s="952"/>
      <c r="LYH49" s="952"/>
      <c r="LYI49" s="952"/>
      <c r="LYJ49" s="952"/>
      <c r="LYK49" s="952"/>
      <c r="LYL49" s="952"/>
      <c r="LYM49" s="952"/>
      <c r="LYN49" s="952"/>
      <c r="LYO49" s="952"/>
      <c r="LYP49" s="952"/>
      <c r="LYQ49" s="952"/>
      <c r="LYR49" s="952"/>
      <c r="LYS49" s="952"/>
      <c r="LYT49" s="952"/>
      <c r="LYU49" s="952"/>
      <c r="LYV49" s="952"/>
      <c r="LYW49" s="952"/>
      <c r="LYX49" s="952"/>
      <c r="LYY49" s="952"/>
      <c r="LYZ49" s="952"/>
      <c r="LZA49" s="952"/>
      <c r="LZB49" s="952"/>
      <c r="LZC49" s="952"/>
      <c r="LZD49" s="952"/>
      <c r="LZE49" s="952"/>
      <c r="LZF49" s="952"/>
      <c r="LZG49" s="952"/>
      <c r="LZH49" s="952"/>
      <c r="LZI49" s="952"/>
      <c r="LZJ49" s="952"/>
      <c r="LZK49" s="952"/>
      <c r="LZL49" s="952"/>
      <c r="LZM49" s="952"/>
      <c r="LZN49" s="952"/>
      <c r="LZO49" s="952"/>
      <c r="LZP49" s="952"/>
      <c r="LZQ49" s="952"/>
      <c r="LZR49" s="952"/>
      <c r="LZS49" s="952"/>
      <c r="LZT49" s="952"/>
      <c r="LZU49" s="952"/>
      <c r="LZV49" s="952"/>
      <c r="LZW49" s="952"/>
      <c r="LZX49" s="952"/>
      <c r="LZY49" s="952"/>
      <c r="LZZ49" s="952"/>
      <c r="MAA49" s="952"/>
      <c r="MAB49" s="952"/>
      <c r="MAC49" s="952"/>
      <c r="MAD49" s="952"/>
      <c r="MAE49" s="952"/>
      <c r="MAF49" s="952"/>
      <c r="MAG49" s="952"/>
      <c r="MAH49" s="952"/>
      <c r="MAI49" s="952"/>
      <c r="MAJ49" s="952"/>
      <c r="MAK49" s="952"/>
      <c r="MAL49" s="952"/>
      <c r="MAM49" s="952"/>
      <c r="MAN49" s="952"/>
      <c r="MAO49" s="952"/>
      <c r="MAP49" s="952"/>
      <c r="MAQ49" s="952"/>
      <c r="MAR49" s="952"/>
      <c r="MAS49" s="952"/>
      <c r="MAT49" s="952"/>
      <c r="MAU49" s="952"/>
      <c r="MAV49" s="952"/>
      <c r="MAW49" s="952"/>
      <c r="MAX49" s="952"/>
      <c r="MAY49" s="952"/>
      <c r="MAZ49" s="952"/>
      <c r="MBA49" s="952"/>
      <c r="MBB49" s="952"/>
      <c r="MBC49" s="952"/>
      <c r="MBD49" s="952"/>
      <c r="MBE49" s="952"/>
      <c r="MBF49" s="952"/>
      <c r="MBG49" s="952"/>
      <c r="MBH49" s="952"/>
      <c r="MBI49" s="952"/>
      <c r="MBJ49" s="952"/>
      <c r="MBK49" s="952"/>
      <c r="MBL49" s="952"/>
      <c r="MBM49" s="952"/>
      <c r="MBN49" s="952"/>
      <c r="MBO49" s="952"/>
      <c r="MBP49" s="952"/>
      <c r="MBQ49" s="952"/>
      <c r="MBR49" s="952"/>
      <c r="MBS49" s="952"/>
      <c r="MBT49" s="952"/>
      <c r="MBU49" s="952"/>
      <c r="MBV49" s="952"/>
      <c r="MBW49" s="952"/>
      <c r="MBX49" s="952"/>
      <c r="MBY49" s="952"/>
      <c r="MBZ49" s="952"/>
      <c r="MCA49" s="952"/>
      <c r="MCB49" s="952"/>
      <c r="MCC49" s="952"/>
      <c r="MCD49" s="952"/>
      <c r="MCE49" s="952"/>
      <c r="MCF49" s="952"/>
      <c r="MCG49" s="952"/>
      <c r="MCH49" s="952"/>
      <c r="MCI49" s="952"/>
      <c r="MCJ49" s="952"/>
      <c r="MCK49" s="952"/>
      <c r="MCL49" s="952"/>
      <c r="MCM49" s="952"/>
      <c r="MCN49" s="952"/>
      <c r="MCO49" s="952"/>
      <c r="MCP49" s="952"/>
      <c r="MCQ49" s="952"/>
      <c r="MCR49" s="952"/>
      <c r="MCS49" s="952"/>
      <c r="MCT49" s="952"/>
      <c r="MCU49" s="952"/>
      <c r="MCV49" s="952"/>
      <c r="MCW49" s="952"/>
      <c r="MCX49" s="952"/>
      <c r="MCY49" s="952"/>
      <c r="MCZ49" s="952"/>
      <c r="MDA49" s="952"/>
      <c r="MDB49" s="952"/>
      <c r="MDC49" s="952"/>
      <c r="MDD49" s="952"/>
      <c r="MDE49" s="952"/>
      <c r="MDF49" s="952"/>
      <c r="MDG49" s="952"/>
      <c r="MDH49" s="952"/>
      <c r="MDI49" s="952"/>
      <c r="MDJ49" s="952"/>
      <c r="MDK49" s="952"/>
      <c r="MDL49" s="952"/>
      <c r="MDM49" s="952"/>
      <c r="MDN49" s="952"/>
      <c r="MDO49" s="952"/>
      <c r="MDP49" s="952"/>
      <c r="MDQ49" s="952"/>
      <c r="MDR49" s="952"/>
      <c r="MDS49" s="952"/>
      <c r="MDT49" s="952"/>
      <c r="MDU49" s="952"/>
      <c r="MDV49" s="952"/>
      <c r="MDW49" s="952"/>
      <c r="MDX49" s="952"/>
      <c r="MDY49" s="952"/>
      <c r="MDZ49" s="952"/>
      <c r="MEA49" s="952"/>
      <c r="MEB49" s="952"/>
      <c r="MEC49" s="952"/>
      <c r="MED49" s="952"/>
      <c r="MEE49" s="952"/>
      <c r="MEF49" s="952"/>
      <c r="MEG49" s="952"/>
      <c r="MEH49" s="952"/>
      <c r="MEI49" s="952"/>
      <c r="MEJ49" s="952"/>
      <c r="MEK49" s="952"/>
      <c r="MEL49" s="952"/>
      <c r="MEM49" s="952"/>
      <c r="MEN49" s="952"/>
      <c r="MEO49" s="952"/>
      <c r="MEP49" s="952"/>
      <c r="MEQ49" s="952"/>
      <c r="MER49" s="952"/>
      <c r="MES49" s="952"/>
      <c r="MET49" s="952"/>
      <c r="MEU49" s="952"/>
      <c r="MEV49" s="952"/>
      <c r="MEW49" s="952"/>
      <c r="MEX49" s="952"/>
      <c r="MEY49" s="952"/>
      <c r="MEZ49" s="952"/>
      <c r="MFA49" s="952"/>
      <c r="MFB49" s="952"/>
      <c r="MFC49" s="952"/>
      <c r="MFD49" s="952"/>
      <c r="MFE49" s="952"/>
      <c r="MFF49" s="952"/>
      <c r="MFG49" s="952"/>
      <c r="MFH49" s="952"/>
      <c r="MFI49" s="952"/>
      <c r="MFJ49" s="952"/>
      <c r="MFK49" s="952"/>
      <c r="MFL49" s="952"/>
      <c r="MFM49" s="952"/>
      <c r="MFN49" s="952"/>
      <c r="MFO49" s="952"/>
      <c r="MFP49" s="952"/>
      <c r="MFQ49" s="952"/>
      <c r="MFR49" s="952"/>
      <c r="MFS49" s="952"/>
      <c r="MFT49" s="952"/>
      <c r="MFU49" s="952"/>
      <c r="MFV49" s="952"/>
      <c r="MFW49" s="952"/>
      <c r="MFX49" s="952"/>
      <c r="MFY49" s="952"/>
      <c r="MFZ49" s="952"/>
      <c r="MGA49" s="952"/>
      <c r="MGB49" s="952"/>
      <c r="MGC49" s="952"/>
      <c r="MGD49" s="952"/>
      <c r="MGE49" s="952"/>
      <c r="MGF49" s="952"/>
      <c r="MGG49" s="952"/>
      <c r="MGH49" s="952"/>
      <c r="MGI49" s="952"/>
      <c r="MGJ49" s="952"/>
      <c r="MGK49" s="952"/>
      <c r="MGL49" s="952"/>
      <c r="MGM49" s="952"/>
      <c r="MGN49" s="952"/>
      <c r="MGO49" s="952"/>
      <c r="MGP49" s="952"/>
      <c r="MGQ49" s="952"/>
      <c r="MGR49" s="952"/>
      <c r="MGS49" s="952"/>
      <c r="MGT49" s="952"/>
      <c r="MGU49" s="952"/>
      <c r="MGV49" s="952"/>
      <c r="MGW49" s="952"/>
      <c r="MGX49" s="952"/>
      <c r="MGY49" s="952"/>
      <c r="MGZ49" s="952"/>
      <c r="MHA49" s="952"/>
      <c r="MHB49" s="952"/>
      <c r="MHC49" s="952"/>
      <c r="MHD49" s="952"/>
      <c r="MHE49" s="952"/>
      <c r="MHF49" s="952"/>
      <c r="MHG49" s="952"/>
      <c r="MHH49" s="952"/>
      <c r="MHI49" s="952"/>
      <c r="MHJ49" s="952"/>
      <c r="MHK49" s="952"/>
      <c r="MHL49" s="952"/>
      <c r="MHM49" s="952"/>
      <c r="MHN49" s="952"/>
      <c r="MHO49" s="952"/>
      <c r="MHP49" s="952"/>
      <c r="MHQ49" s="952"/>
      <c r="MHR49" s="952"/>
      <c r="MHS49" s="952"/>
      <c r="MHT49" s="952"/>
      <c r="MHU49" s="952"/>
      <c r="MHV49" s="952"/>
      <c r="MHW49" s="952"/>
      <c r="MHX49" s="952"/>
      <c r="MHY49" s="952"/>
      <c r="MHZ49" s="952"/>
      <c r="MIA49" s="952"/>
      <c r="MIB49" s="952"/>
      <c r="MIC49" s="952"/>
      <c r="MID49" s="952"/>
      <c r="MIE49" s="952"/>
      <c r="MIF49" s="952"/>
      <c r="MIG49" s="952"/>
      <c r="MIH49" s="952"/>
      <c r="MII49" s="952"/>
      <c r="MIJ49" s="952"/>
      <c r="MIK49" s="952"/>
      <c r="MIL49" s="952"/>
      <c r="MIM49" s="952"/>
      <c r="MIN49" s="952"/>
      <c r="MIO49" s="952"/>
      <c r="MIP49" s="952"/>
      <c r="MIQ49" s="952"/>
      <c r="MIR49" s="952"/>
      <c r="MIS49" s="952"/>
      <c r="MIT49" s="952"/>
      <c r="MIU49" s="952"/>
      <c r="MIV49" s="952"/>
      <c r="MIW49" s="952"/>
      <c r="MIX49" s="952"/>
      <c r="MIY49" s="952"/>
      <c r="MIZ49" s="952"/>
      <c r="MJA49" s="952"/>
      <c r="MJB49" s="952"/>
      <c r="MJC49" s="952"/>
      <c r="MJD49" s="952"/>
      <c r="MJE49" s="952"/>
      <c r="MJF49" s="952"/>
      <c r="MJG49" s="952"/>
      <c r="MJH49" s="952"/>
      <c r="MJI49" s="952"/>
      <c r="MJJ49" s="952"/>
      <c r="MJK49" s="952"/>
      <c r="MJL49" s="952"/>
      <c r="MJM49" s="952"/>
      <c r="MJN49" s="952"/>
      <c r="MJO49" s="952"/>
      <c r="MJP49" s="952"/>
      <c r="MJQ49" s="952"/>
      <c r="MJR49" s="952"/>
      <c r="MJS49" s="952"/>
      <c r="MJT49" s="952"/>
      <c r="MJU49" s="952"/>
      <c r="MJV49" s="952"/>
      <c r="MJW49" s="952"/>
      <c r="MJX49" s="952"/>
      <c r="MJY49" s="952"/>
      <c r="MJZ49" s="952"/>
      <c r="MKA49" s="952"/>
      <c r="MKB49" s="952"/>
      <c r="MKC49" s="952"/>
      <c r="MKD49" s="952"/>
      <c r="MKE49" s="952"/>
      <c r="MKF49" s="952"/>
      <c r="MKG49" s="952"/>
      <c r="MKH49" s="952"/>
      <c r="MKI49" s="952"/>
      <c r="MKJ49" s="952"/>
      <c r="MKK49" s="952"/>
      <c r="MKL49" s="952"/>
      <c r="MKM49" s="952"/>
      <c r="MKN49" s="952"/>
      <c r="MKO49" s="952"/>
      <c r="MKP49" s="952"/>
      <c r="MKQ49" s="952"/>
      <c r="MKR49" s="952"/>
      <c r="MKS49" s="952"/>
      <c r="MKT49" s="952"/>
      <c r="MKU49" s="952"/>
      <c r="MKV49" s="952"/>
      <c r="MKW49" s="952"/>
      <c r="MKX49" s="952"/>
      <c r="MKY49" s="952"/>
      <c r="MKZ49" s="952"/>
      <c r="MLA49" s="952"/>
      <c r="MLB49" s="952"/>
      <c r="MLC49" s="952"/>
      <c r="MLD49" s="952"/>
      <c r="MLE49" s="952"/>
      <c r="MLF49" s="952"/>
      <c r="MLG49" s="952"/>
      <c r="MLH49" s="952"/>
      <c r="MLI49" s="952"/>
      <c r="MLJ49" s="952"/>
      <c r="MLK49" s="952"/>
      <c r="MLL49" s="952"/>
      <c r="MLM49" s="952"/>
      <c r="MLN49" s="952"/>
      <c r="MLO49" s="952"/>
      <c r="MLP49" s="952"/>
      <c r="MLQ49" s="952"/>
      <c r="MLR49" s="952"/>
      <c r="MLS49" s="952"/>
      <c r="MLT49" s="952"/>
      <c r="MLU49" s="952"/>
      <c r="MLV49" s="952"/>
      <c r="MLW49" s="952"/>
      <c r="MLX49" s="952"/>
      <c r="MLY49" s="952"/>
      <c r="MLZ49" s="952"/>
      <c r="MMA49" s="952"/>
      <c r="MMB49" s="952"/>
      <c r="MMC49" s="952"/>
      <c r="MMD49" s="952"/>
      <c r="MME49" s="952"/>
      <c r="MMF49" s="952"/>
      <c r="MMG49" s="952"/>
      <c r="MMH49" s="952"/>
      <c r="MMI49" s="952"/>
      <c r="MMJ49" s="952"/>
      <c r="MMK49" s="952"/>
      <c r="MML49" s="952"/>
      <c r="MMM49" s="952"/>
      <c r="MMN49" s="952"/>
      <c r="MMO49" s="952"/>
      <c r="MMP49" s="952"/>
      <c r="MMQ49" s="952"/>
      <c r="MMR49" s="952"/>
      <c r="MMS49" s="952"/>
      <c r="MMT49" s="952"/>
      <c r="MMU49" s="952"/>
      <c r="MMV49" s="952"/>
      <c r="MMW49" s="952"/>
      <c r="MMX49" s="952"/>
      <c r="MMY49" s="952"/>
      <c r="MMZ49" s="952"/>
      <c r="MNA49" s="952"/>
      <c r="MNB49" s="952"/>
      <c r="MNC49" s="952"/>
      <c r="MND49" s="952"/>
      <c r="MNE49" s="952"/>
      <c r="MNF49" s="952"/>
      <c r="MNG49" s="952"/>
      <c r="MNH49" s="952"/>
      <c r="MNI49" s="952"/>
      <c r="MNJ49" s="952"/>
      <c r="MNK49" s="952"/>
      <c r="MNL49" s="952"/>
      <c r="MNM49" s="952"/>
      <c r="MNN49" s="952"/>
      <c r="MNO49" s="952"/>
      <c r="MNP49" s="952"/>
      <c r="MNQ49" s="952"/>
      <c r="MNR49" s="952"/>
      <c r="MNS49" s="952"/>
      <c r="MNT49" s="952"/>
      <c r="MNU49" s="952"/>
      <c r="MNV49" s="952"/>
      <c r="MNW49" s="952"/>
      <c r="MNX49" s="952"/>
      <c r="MNY49" s="952"/>
      <c r="MNZ49" s="952"/>
      <c r="MOA49" s="952"/>
      <c r="MOB49" s="952"/>
      <c r="MOC49" s="952"/>
      <c r="MOD49" s="952"/>
      <c r="MOE49" s="952"/>
      <c r="MOF49" s="952"/>
      <c r="MOG49" s="952"/>
      <c r="MOH49" s="952"/>
      <c r="MOI49" s="952"/>
      <c r="MOJ49" s="952"/>
      <c r="MOK49" s="952"/>
      <c r="MOL49" s="952"/>
      <c r="MOM49" s="952"/>
      <c r="MON49" s="952"/>
      <c r="MOO49" s="952"/>
      <c r="MOP49" s="952"/>
      <c r="MOQ49" s="952"/>
      <c r="MOR49" s="952"/>
      <c r="MOS49" s="952"/>
      <c r="MOT49" s="952"/>
      <c r="MOU49" s="952"/>
      <c r="MOV49" s="952"/>
      <c r="MOW49" s="952"/>
      <c r="MOX49" s="952"/>
      <c r="MOY49" s="952"/>
      <c r="MOZ49" s="952"/>
      <c r="MPA49" s="952"/>
      <c r="MPB49" s="952"/>
      <c r="MPC49" s="952"/>
      <c r="MPD49" s="952"/>
      <c r="MPE49" s="952"/>
      <c r="MPF49" s="952"/>
      <c r="MPG49" s="952"/>
      <c r="MPH49" s="952"/>
      <c r="MPI49" s="952"/>
      <c r="MPJ49" s="952"/>
      <c r="MPK49" s="952"/>
      <c r="MPL49" s="952"/>
      <c r="MPM49" s="952"/>
      <c r="MPN49" s="952"/>
      <c r="MPO49" s="952"/>
      <c r="MPP49" s="952"/>
      <c r="MPQ49" s="952"/>
      <c r="MPR49" s="952"/>
      <c r="MPS49" s="952"/>
      <c r="MPT49" s="952"/>
      <c r="MPU49" s="952"/>
      <c r="MPV49" s="952"/>
      <c r="MPW49" s="952"/>
      <c r="MPX49" s="952"/>
      <c r="MPY49" s="952"/>
      <c r="MPZ49" s="952"/>
      <c r="MQA49" s="952"/>
      <c r="MQB49" s="952"/>
      <c r="MQC49" s="952"/>
      <c r="MQD49" s="952"/>
      <c r="MQE49" s="952"/>
      <c r="MQF49" s="952"/>
      <c r="MQG49" s="952"/>
      <c r="MQH49" s="952"/>
      <c r="MQI49" s="952"/>
      <c r="MQJ49" s="952"/>
      <c r="MQK49" s="952"/>
      <c r="MQL49" s="952"/>
      <c r="MQM49" s="952"/>
      <c r="MQN49" s="952"/>
      <c r="MQO49" s="952"/>
      <c r="MQP49" s="952"/>
      <c r="MQQ49" s="952"/>
      <c r="MQR49" s="952"/>
      <c r="MQS49" s="952"/>
      <c r="MQT49" s="952"/>
      <c r="MQU49" s="952"/>
      <c r="MQV49" s="952"/>
      <c r="MQW49" s="952"/>
      <c r="MQX49" s="952"/>
      <c r="MQY49" s="952"/>
      <c r="MQZ49" s="952"/>
      <c r="MRA49" s="952"/>
      <c r="MRB49" s="952"/>
      <c r="MRC49" s="952"/>
      <c r="MRD49" s="952"/>
      <c r="MRE49" s="952"/>
      <c r="MRF49" s="952"/>
      <c r="MRG49" s="952"/>
      <c r="MRH49" s="952"/>
      <c r="MRI49" s="952"/>
      <c r="MRJ49" s="952"/>
      <c r="MRK49" s="952"/>
      <c r="MRL49" s="952"/>
      <c r="MRM49" s="952"/>
      <c r="MRN49" s="952"/>
      <c r="MRO49" s="952"/>
      <c r="MRP49" s="952"/>
      <c r="MRQ49" s="952"/>
      <c r="MRR49" s="952"/>
      <c r="MRS49" s="952"/>
      <c r="MRT49" s="952"/>
      <c r="MRU49" s="952"/>
      <c r="MRV49" s="952"/>
      <c r="MRW49" s="952"/>
      <c r="MRX49" s="952"/>
      <c r="MRY49" s="952"/>
      <c r="MRZ49" s="952"/>
      <c r="MSA49" s="952"/>
      <c r="MSB49" s="952"/>
      <c r="MSC49" s="952"/>
      <c r="MSD49" s="952"/>
      <c r="MSE49" s="952"/>
      <c r="MSF49" s="952"/>
      <c r="MSG49" s="952"/>
      <c r="MSH49" s="952"/>
      <c r="MSI49" s="952"/>
      <c r="MSJ49" s="952"/>
      <c r="MSK49" s="952"/>
      <c r="MSL49" s="952"/>
      <c r="MSM49" s="952"/>
      <c r="MSN49" s="952"/>
      <c r="MSO49" s="952"/>
      <c r="MSP49" s="952"/>
      <c r="MSQ49" s="952"/>
      <c r="MSR49" s="952"/>
      <c r="MSS49" s="952"/>
      <c r="MST49" s="952"/>
      <c r="MSU49" s="952"/>
      <c r="MSV49" s="952"/>
      <c r="MSW49" s="952"/>
      <c r="MSX49" s="952"/>
      <c r="MSY49" s="952"/>
      <c r="MSZ49" s="952"/>
      <c r="MTA49" s="952"/>
      <c r="MTB49" s="952"/>
      <c r="MTC49" s="952"/>
      <c r="MTD49" s="952"/>
      <c r="MTE49" s="952"/>
      <c r="MTF49" s="952"/>
      <c r="MTG49" s="952"/>
      <c r="MTH49" s="952"/>
      <c r="MTI49" s="952"/>
      <c r="MTJ49" s="952"/>
      <c r="MTK49" s="952"/>
      <c r="MTL49" s="952"/>
      <c r="MTM49" s="952"/>
      <c r="MTN49" s="952"/>
      <c r="MTO49" s="952"/>
      <c r="MTP49" s="952"/>
      <c r="MTQ49" s="952"/>
      <c r="MTR49" s="952"/>
      <c r="MTS49" s="952"/>
      <c r="MTT49" s="952"/>
      <c r="MTU49" s="952"/>
      <c r="MTV49" s="952"/>
      <c r="MTW49" s="952"/>
      <c r="MTX49" s="952"/>
      <c r="MTY49" s="952"/>
      <c r="MTZ49" s="952"/>
      <c r="MUA49" s="952"/>
      <c r="MUB49" s="952"/>
      <c r="MUC49" s="952"/>
      <c r="MUD49" s="952"/>
      <c r="MUE49" s="952"/>
      <c r="MUF49" s="952"/>
      <c r="MUG49" s="952"/>
      <c r="MUH49" s="952"/>
      <c r="MUI49" s="952"/>
      <c r="MUJ49" s="952"/>
      <c r="MUK49" s="952"/>
      <c r="MUL49" s="952"/>
      <c r="MUM49" s="952"/>
      <c r="MUN49" s="952"/>
      <c r="MUO49" s="952"/>
      <c r="MUP49" s="952"/>
      <c r="MUQ49" s="952"/>
      <c r="MUR49" s="952"/>
      <c r="MUS49" s="952"/>
      <c r="MUT49" s="952"/>
      <c r="MUU49" s="952"/>
      <c r="MUV49" s="952"/>
      <c r="MUW49" s="952"/>
      <c r="MUX49" s="952"/>
      <c r="MUY49" s="952"/>
      <c r="MUZ49" s="952"/>
      <c r="MVA49" s="952"/>
      <c r="MVB49" s="952"/>
      <c r="MVC49" s="952"/>
      <c r="MVD49" s="952"/>
      <c r="MVE49" s="952"/>
      <c r="MVF49" s="952"/>
      <c r="MVG49" s="952"/>
      <c r="MVH49" s="952"/>
      <c r="MVI49" s="952"/>
      <c r="MVJ49" s="952"/>
      <c r="MVK49" s="952"/>
      <c r="MVL49" s="952"/>
      <c r="MVM49" s="952"/>
      <c r="MVN49" s="952"/>
      <c r="MVO49" s="952"/>
      <c r="MVP49" s="952"/>
      <c r="MVQ49" s="952"/>
      <c r="MVR49" s="952"/>
      <c r="MVS49" s="952"/>
      <c r="MVT49" s="952"/>
      <c r="MVU49" s="952"/>
      <c r="MVV49" s="952"/>
      <c r="MVW49" s="952"/>
      <c r="MVX49" s="952"/>
      <c r="MVY49" s="952"/>
      <c r="MVZ49" s="952"/>
      <c r="MWA49" s="952"/>
      <c r="MWB49" s="952"/>
      <c r="MWC49" s="952"/>
      <c r="MWD49" s="952"/>
      <c r="MWE49" s="952"/>
      <c r="MWF49" s="952"/>
      <c r="MWG49" s="952"/>
      <c r="MWH49" s="952"/>
      <c r="MWI49" s="952"/>
      <c r="MWJ49" s="952"/>
      <c r="MWK49" s="952"/>
      <c r="MWL49" s="952"/>
      <c r="MWM49" s="952"/>
      <c r="MWN49" s="952"/>
      <c r="MWO49" s="952"/>
      <c r="MWP49" s="952"/>
      <c r="MWQ49" s="952"/>
      <c r="MWR49" s="952"/>
      <c r="MWS49" s="952"/>
      <c r="MWT49" s="952"/>
      <c r="MWU49" s="952"/>
      <c r="MWV49" s="952"/>
      <c r="MWW49" s="952"/>
      <c r="MWX49" s="952"/>
      <c r="MWY49" s="952"/>
      <c r="MWZ49" s="952"/>
      <c r="MXA49" s="952"/>
      <c r="MXB49" s="952"/>
      <c r="MXC49" s="952"/>
      <c r="MXD49" s="952"/>
      <c r="MXE49" s="952"/>
      <c r="MXF49" s="952"/>
      <c r="MXG49" s="952"/>
      <c r="MXH49" s="952"/>
      <c r="MXI49" s="952"/>
      <c r="MXJ49" s="952"/>
      <c r="MXK49" s="952"/>
      <c r="MXL49" s="952"/>
      <c r="MXM49" s="952"/>
      <c r="MXN49" s="952"/>
      <c r="MXO49" s="952"/>
      <c r="MXP49" s="952"/>
      <c r="MXQ49" s="952"/>
      <c r="MXR49" s="952"/>
      <c r="MXS49" s="952"/>
      <c r="MXT49" s="952"/>
      <c r="MXU49" s="952"/>
      <c r="MXV49" s="952"/>
      <c r="MXW49" s="952"/>
      <c r="MXX49" s="952"/>
      <c r="MXY49" s="952"/>
      <c r="MXZ49" s="952"/>
      <c r="MYA49" s="952"/>
      <c r="MYB49" s="952"/>
      <c r="MYC49" s="952"/>
      <c r="MYD49" s="952"/>
      <c r="MYE49" s="952"/>
      <c r="MYF49" s="952"/>
      <c r="MYG49" s="952"/>
      <c r="MYH49" s="952"/>
      <c r="MYI49" s="952"/>
      <c r="MYJ49" s="952"/>
      <c r="MYK49" s="952"/>
      <c r="MYL49" s="952"/>
      <c r="MYM49" s="952"/>
      <c r="MYN49" s="952"/>
      <c r="MYO49" s="952"/>
      <c r="MYP49" s="952"/>
      <c r="MYQ49" s="952"/>
      <c r="MYR49" s="952"/>
      <c r="MYS49" s="952"/>
      <c r="MYT49" s="952"/>
      <c r="MYU49" s="952"/>
      <c r="MYV49" s="952"/>
      <c r="MYW49" s="952"/>
      <c r="MYX49" s="952"/>
      <c r="MYY49" s="952"/>
      <c r="MYZ49" s="952"/>
      <c r="MZA49" s="952"/>
      <c r="MZB49" s="952"/>
      <c r="MZC49" s="952"/>
      <c r="MZD49" s="952"/>
      <c r="MZE49" s="952"/>
      <c r="MZF49" s="952"/>
      <c r="MZG49" s="952"/>
      <c r="MZH49" s="952"/>
      <c r="MZI49" s="952"/>
      <c r="MZJ49" s="952"/>
      <c r="MZK49" s="952"/>
      <c r="MZL49" s="952"/>
      <c r="MZM49" s="952"/>
      <c r="MZN49" s="952"/>
      <c r="MZO49" s="952"/>
      <c r="MZP49" s="952"/>
      <c r="MZQ49" s="952"/>
      <c r="MZR49" s="952"/>
      <c r="MZS49" s="952"/>
      <c r="MZT49" s="952"/>
      <c r="MZU49" s="952"/>
      <c r="MZV49" s="952"/>
      <c r="MZW49" s="952"/>
      <c r="MZX49" s="952"/>
      <c r="MZY49" s="952"/>
      <c r="MZZ49" s="952"/>
      <c r="NAA49" s="952"/>
      <c r="NAB49" s="952"/>
      <c r="NAC49" s="952"/>
      <c r="NAD49" s="952"/>
      <c r="NAE49" s="952"/>
      <c r="NAF49" s="952"/>
      <c r="NAG49" s="952"/>
      <c r="NAH49" s="952"/>
      <c r="NAI49" s="952"/>
      <c r="NAJ49" s="952"/>
      <c r="NAK49" s="952"/>
      <c r="NAL49" s="952"/>
      <c r="NAM49" s="952"/>
      <c r="NAN49" s="952"/>
      <c r="NAO49" s="952"/>
      <c r="NAP49" s="952"/>
      <c r="NAQ49" s="952"/>
      <c r="NAR49" s="952"/>
      <c r="NAS49" s="952"/>
      <c r="NAT49" s="952"/>
      <c r="NAU49" s="952"/>
      <c r="NAV49" s="952"/>
      <c r="NAW49" s="952"/>
      <c r="NAX49" s="952"/>
      <c r="NAY49" s="952"/>
      <c r="NAZ49" s="952"/>
      <c r="NBA49" s="952"/>
      <c r="NBB49" s="952"/>
      <c r="NBC49" s="952"/>
      <c r="NBD49" s="952"/>
      <c r="NBE49" s="952"/>
      <c r="NBF49" s="952"/>
      <c r="NBG49" s="952"/>
      <c r="NBH49" s="952"/>
      <c r="NBI49" s="952"/>
      <c r="NBJ49" s="952"/>
      <c r="NBK49" s="952"/>
      <c r="NBL49" s="952"/>
      <c r="NBM49" s="952"/>
      <c r="NBN49" s="952"/>
      <c r="NBO49" s="952"/>
      <c r="NBP49" s="952"/>
      <c r="NBQ49" s="952"/>
      <c r="NBR49" s="952"/>
      <c r="NBS49" s="952"/>
      <c r="NBT49" s="952"/>
      <c r="NBU49" s="952"/>
      <c r="NBV49" s="952"/>
      <c r="NBW49" s="952"/>
      <c r="NBX49" s="952"/>
      <c r="NBY49" s="952"/>
      <c r="NBZ49" s="952"/>
      <c r="NCA49" s="952"/>
      <c r="NCB49" s="952"/>
      <c r="NCC49" s="952"/>
      <c r="NCD49" s="952"/>
      <c r="NCE49" s="952"/>
      <c r="NCF49" s="952"/>
      <c r="NCG49" s="952"/>
      <c r="NCH49" s="952"/>
      <c r="NCI49" s="952"/>
      <c r="NCJ49" s="952"/>
      <c r="NCK49" s="952"/>
      <c r="NCL49" s="952"/>
      <c r="NCM49" s="952"/>
      <c r="NCN49" s="952"/>
      <c r="NCO49" s="952"/>
      <c r="NCP49" s="952"/>
      <c r="NCQ49" s="952"/>
      <c r="NCR49" s="952"/>
      <c r="NCS49" s="952"/>
      <c r="NCT49" s="952"/>
      <c r="NCU49" s="952"/>
      <c r="NCV49" s="952"/>
      <c r="NCW49" s="952"/>
      <c r="NCX49" s="952"/>
      <c r="NCY49" s="952"/>
      <c r="NCZ49" s="952"/>
      <c r="NDA49" s="952"/>
      <c r="NDB49" s="952"/>
      <c r="NDC49" s="952"/>
      <c r="NDD49" s="952"/>
      <c r="NDE49" s="952"/>
      <c r="NDF49" s="952"/>
      <c r="NDG49" s="952"/>
      <c r="NDH49" s="952"/>
      <c r="NDI49" s="952"/>
      <c r="NDJ49" s="952"/>
      <c r="NDK49" s="952"/>
      <c r="NDL49" s="952"/>
      <c r="NDM49" s="952"/>
      <c r="NDN49" s="952"/>
      <c r="NDO49" s="952"/>
      <c r="NDP49" s="952"/>
      <c r="NDQ49" s="952"/>
      <c r="NDR49" s="952"/>
      <c r="NDS49" s="952"/>
      <c r="NDT49" s="952"/>
      <c r="NDU49" s="952"/>
      <c r="NDV49" s="952"/>
      <c r="NDW49" s="952"/>
      <c r="NDX49" s="952"/>
      <c r="NDY49" s="952"/>
      <c r="NDZ49" s="952"/>
      <c r="NEA49" s="952"/>
      <c r="NEB49" s="952"/>
      <c r="NEC49" s="952"/>
      <c r="NED49" s="952"/>
      <c r="NEE49" s="952"/>
      <c r="NEF49" s="952"/>
      <c r="NEG49" s="952"/>
      <c r="NEH49" s="952"/>
      <c r="NEI49" s="952"/>
      <c r="NEJ49" s="952"/>
      <c r="NEK49" s="952"/>
      <c r="NEL49" s="952"/>
      <c r="NEM49" s="952"/>
      <c r="NEN49" s="952"/>
      <c r="NEO49" s="952"/>
      <c r="NEP49" s="952"/>
      <c r="NEQ49" s="952"/>
      <c r="NER49" s="952"/>
      <c r="NES49" s="952"/>
      <c r="NET49" s="952"/>
      <c r="NEU49" s="952"/>
      <c r="NEV49" s="952"/>
      <c r="NEW49" s="952"/>
      <c r="NEX49" s="952"/>
      <c r="NEY49" s="952"/>
      <c r="NEZ49" s="952"/>
      <c r="NFA49" s="952"/>
      <c r="NFB49" s="952"/>
      <c r="NFC49" s="952"/>
      <c r="NFD49" s="952"/>
      <c r="NFE49" s="952"/>
      <c r="NFF49" s="952"/>
      <c r="NFG49" s="952"/>
      <c r="NFH49" s="952"/>
      <c r="NFI49" s="952"/>
      <c r="NFJ49" s="952"/>
      <c r="NFK49" s="952"/>
      <c r="NFL49" s="952"/>
      <c r="NFM49" s="952"/>
      <c r="NFN49" s="952"/>
      <c r="NFO49" s="952"/>
      <c r="NFP49" s="952"/>
      <c r="NFQ49" s="952"/>
      <c r="NFR49" s="952"/>
      <c r="NFS49" s="952"/>
      <c r="NFT49" s="952"/>
      <c r="NFU49" s="952"/>
      <c r="NFV49" s="952"/>
      <c r="NFW49" s="952"/>
      <c r="NFX49" s="952"/>
      <c r="NFY49" s="952"/>
      <c r="NFZ49" s="952"/>
      <c r="NGA49" s="952"/>
      <c r="NGB49" s="952"/>
      <c r="NGC49" s="952"/>
      <c r="NGD49" s="952"/>
      <c r="NGE49" s="952"/>
      <c r="NGF49" s="952"/>
      <c r="NGG49" s="952"/>
      <c r="NGH49" s="952"/>
      <c r="NGI49" s="952"/>
      <c r="NGJ49" s="952"/>
      <c r="NGK49" s="952"/>
      <c r="NGL49" s="952"/>
      <c r="NGM49" s="952"/>
      <c r="NGN49" s="952"/>
      <c r="NGO49" s="952"/>
      <c r="NGP49" s="952"/>
      <c r="NGQ49" s="952"/>
      <c r="NGR49" s="952"/>
      <c r="NGS49" s="952"/>
      <c r="NGT49" s="952"/>
      <c r="NGU49" s="952"/>
      <c r="NGV49" s="952"/>
      <c r="NGW49" s="952"/>
      <c r="NGX49" s="952"/>
      <c r="NGY49" s="952"/>
      <c r="NGZ49" s="952"/>
      <c r="NHA49" s="952"/>
      <c r="NHB49" s="952"/>
      <c r="NHC49" s="952"/>
      <c r="NHD49" s="952"/>
      <c r="NHE49" s="952"/>
      <c r="NHF49" s="952"/>
      <c r="NHG49" s="952"/>
      <c r="NHH49" s="952"/>
      <c r="NHI49" s="952"/>
      <c r="NHJ49" s="952"/>
      <c r="NHK49" s="952"/>
      <c r="NHL49" s="952"/>
      <c r="NHM49" s="952"/>
      <c r="NHN49" s="952"/>
      <c r="NHO49" s="952"/>
      <c r="NHP49" s="952"/>
      <c r="NHQ49" s="952"/>
      <c r="NHR49" s="952"/>
      <c r="NHS49" s="952"/>
      <c r="NHT49" s="952"/>
      <c r="NHU49" s="952"/>
      <c r="NHV49" s="952"/>
      <c r="NHW49" s="952"/>
      <c r="NHX49" s="952"/>
      <c r="NHY49" s="952"/>
      <c r="NHZ49" s="952"/>
      <c r="NIA49" s="952"/>
      <c r="NIB49" s="952"/>
      <c r="NIC49" s="952"/>
      <c r="NID49" s="952"/>
      <c r="NIE49" s="952"/>
      <c r="NIF49" s="952"/>
      <c r="NIG49" s="952"/>
      <c r="NIH49" s="952"/>
      <c r="NII49" s="952"/>
      <c r="NIJ49" s="952"/>
      <c r="NIK49" s="952"/>
      <c r="NIL49" s="952"/>
      <c r="NIM49" s="952"/>
      <c r="NIN49" s="952"/>
      <c r="NIO49" s="952"/>
      <c r="NIP49" s="952"/>
      <c r="NIQ49" s="952"/>
      <c r="NIR49" s="952"/>
      <c r="NIS49" s="952"/>
      <c r="NIT49" s="952"/>
      <c r="NIU49" s="952"/>
      <c r="NIV49" s="952"/>
      <c r="NIW49" s="952"/>
      <c r="NIX49" s="952"/>
      <c r="NIY49" s="952"/>
      <c r="NIZ49" s="952"/>
      <c r="NJA49" s="952"/>
      <c r="NJB49" s="952"/>
      <c r="NJC49" s="952"/>
      <c r="NJD49" s="952"/>
      <c r="NJE49" s="952"/>
      <c r="NJF49" s="952"/>
      <c r="NJG49" s="952"/>
      <c r="NJH49" s="952"/>
      <c r="NJI49" s="952"/>
      <c r="NJJ49" s="952"/>
      <c r="NJK49" s="952"/>
      <c r="NJL49" s="952"/>
      <c r="NJM49" s="952"/>
      <c r="NJN49" s="952"/>
      <c r="NJO49" s="952"/>
      <c r="NJP49" s="952"/>
      <c r="NJQ49" s="952"/>
      <c r="NJR49" s="952"/>
      <c r="NJS49" s="952"/>
      <c r="NJT49" s="952"/>
      <c r="NJU49" s="952"/>
      <c r="NJV49" s="952"/>
      <c r="NJW49" s="952"/>
      <c r="NJX49" s="952"/>
      <c r="NJY49" s="952"/>
      <c r="NJZ49" s="952"/>
      <c r="NKA49" s="952"/>
      <c r="NKB49" s="952"/>
      <c r="NKC49" s="952"/>
      <c r="NKD49" s="952"/>
      <c r="NKE49" s="952"/>
      <c r="NKF49" s="952"/>
      <c r="NKG49" s="952"/>
      <c r="NKH49" s="952"/>
      <c r="NKI49" s="952"/>
      <c r="NKJ49" s="952"/>
      <c r="NKK49" s="952"/>
      <c r="NKL49" s="952"/>
      <c r="NKM49" s="952"/>
      <c r="NKN49" s="952"/>
      <c r="NKO49" s="952"/>
      <c r="NKP49" s="952"/>
      <c r="NKQ49" s="952"/>
      <c r="NKR49" s="952"/>
      <c r="NKS49" s="952"/>
      <c r="NKT49" s="952"/>
      <c r="NKU49" s="952"/>
      <c r="NKV49" s="952"/>
      <c r="NKW49" s="952"/>
      <c r="NKX49" s="952"/>
      <c r="NKY49" s="952"/>
      <c r="NKZ49" s="952"/>
      <c r="NLA49" s="952"/>
      <c r="NLB49" s="952"/>
      <c r="NLC49" s="952"/>
      <c r="NLD49" s="952"/>
      <c r="NLE49" s="952"/>
      <c r="NLF49" s="952"/>
      <c r="NLG49" s="952"/>
      <c r="NLH49" s="952"/>
      <c r="NLI49" s="952"/>
      <c r="NLJ49" s="952"/>
      <c r="NLK49" s="952"/>
      <c r="NLL49" s="952"/>
      <c r="NLM49" s="952"/>
      <c r="NLN49" s="952"/>
      <c r="NLO49" s="952"/>
      <c r="NLP49" s="952"/>
      <c r="NLQ49" s="952"/>
      <c r="NLR49" s="952"/>
      <c r="NLS49" s="952"/>
      <c r="NLT49" s="952"/>
      <c r="NLU49" s="952"/>
      <c r="NLV49" s="952"/>
      <c r="NLW49" s="952"/>
      <c r="NLX49" s="952"/>
      <c r="NLY49" s="952"/>
      <c r="NLZ49" s="952"/>
      <c r="NMA49" s="952"/>
      <c r="NMB49" s="952"/>
      <c r="NMC49" s="952"/>
      <c r="NMD49" s="952"/>
      <c r="NME49" s="952"/>
      <c r="NMF49" s="952"/>
      <c r="NMG49" s="952"/>
      <c r="NMH49" s="952"/>
      <c r="NMI49" s="952"/>
      <c r="NMJ49" s="952"/>
      <c r="NMK49" s="952"/>
      <c r="NML49" s="952"/>
      <c r="NMM49" s="952"/>
      <c r="NMN49" s="952"/>
      <c r="NMO49" s="952"/>
      <c r="NMP49" s="952"/>
      <c r="NMQ49" s="952"/>
      <c r="NMR49" s="952"/>
      <c r="NMS49" s="952"/>
      <c r="NMT49" s="952"/>
      <c r="NMU49" s="952"/>
      <c r="NMV49" s="952"/>
      <c r="NMW49" s="952"/>
      <c r="NMX49" s="952"/>
      <c r="NMY49" s="952"/>
      <c r="NMZ49" s="952"/>
      <c r="NNA49" s="952"/>
      <c r="NNB49" s="952"/>
      <c r="NNC49" s="952"/>
      <c r="NND49" s="952"/>
      <c r="NNE49" s="952"/>
      <c r="NNF49" s="952"/>
      <c r="NNG49" s="952"/>
      <c r="NNH49" s="952"/>
      <c r="NNI49" s="952"/>
      <c r="NNJ49" s="952"/>
      <c r="NNK49" s="952"/>
      <c r="NNL49" s="952"/>
      <c r="NNM49" s="952"/>
      <c r="NNN49" s="952"/>
      <c r="NNO49" s="952"/>
      <c r="NNP49" s="952"/>
      <c r="NNQ49" s="952"/>
      <c r="NNR49" s="952"/>
      <c r="NNS49" s="952"/>
      <c r="NNT49" s="952"/>
      <c r="NNU49" s="952"/>
      <c r="NNV49" s="952"/>
      <c r="NNW49" s="952"/>
      <c r="NNX49" s="952"/>
      <c r="NNY49" s="952"/>
      <c r="NNZ49" s="952"/>
      <c r="NOA49" s="952"/>
      <c r="NOB49" s="952"/>
      <c r="NOC49" s="952"/>
      <c r="NOD49" s="952"/>
      <c r="NOE49" s="952"/>
      <c r="NOF49" s="952"/>
      <c r="NOG49" s="952"/>
      <c r="NOH49" s="952"/>
      <c r="NOI49" s="952"/>
      <c r="NOJ49" s="952"/>
      <c r="NOK49" s="952"/>
      <c r="NOL49" s="952"/>
      <c r="NOM49" s="952"/>
      <c r="NON49" s="952"/>
      <c r="NOO49" s="952"/>
      <c r="NOP49" s="952"/>
      <c r="NOQ49" s="952"/>
      <c r="NOR49" s="952"/>
      <c r="NOS49" s="952"/>
      <c r="NOT49" s="952"/>
      <c r="NOU49" s="952"/>
      <c r="NOV49" s="952"/>
      <c r="NOW49" s="952"/>
      <c r="NOX49" s="952"/>
      <c r="NOY49" s="952"/>
      <c r="NOZ49" s="952"/>
      <c r="NPA49" s="952"/>
      <c r="NPB49" s="952"/>
      <c r="NPC49" s="952"/>
      <c r="NPD49" s="952"/>
      <c r="NPE49" s="952"/>
      <c r="NPF49" s="952"/>
      <c r="NPG49" s="952"/>
      <c r="NPH49" s="952"/>
      <c r="NPI49" s="952"/>
      <c r="NPJ49" s="952"/>
      <c r="NPK49" s="952"/>
      <c r="NPL49" s="952"/>
      <c r="NPM49" s="952"/>
      <c r="NPN49" s="952"/>
      <c r="NPO49" s="952"/>
      <c r="NPP49" s="952"/>
      <c r="NPQ49" s="952"/>
      <c r="NPR49" s="952"/>
      <c r="NPS49" s="952"/>
      <c r="NPT49" s="952"/>
      <c r="NPU49" s="952"/>
      <c r="NPV49" s="952"/>
      <c r="NPW49" s="952"/>
      <c r="NPX49" s="952"/>
      <c r="NPY49" s="952"/>
      <c r="NPZ49" s="952"/>
      <c r="NQA49" s="952"/>
      <c r="NQB49" s="952"/>
      <c r="NQC49" s="952"/>
      <c r="NQD49" s="952"/>
      <c r="NQE49" s="952"/>
      <c r="NQF49" s="952"/>
      <c r="NQG49" s="952"/>
      <c r="NQH49" s="952"/>
      <c r="NQI49" s="952"/>
      <c r="NQJ49" s="952"/>
      <c r="NQK49" s="952"/>
      <c r="NQL49" s="952"/>
      <c r="NQM49" s="952"/>
      <c r="NQN49" s="952"/>
      <c r="NQO49" s="952"/>
      <c r="NQP49" s="952"/>
      <c r="NQQ49" s="952"/>
      <c r="NQR49" s="952"/>
      <c r="NQS49" s="952"/>
      <c r="NQT49" s="952"/>
      <c r="NQU49" s="952"/>
      <c r="NQV49" s="952"/>
      <c r="NQW49" s="952"/>
      <c r="NQX49" s="952"/>
      <c r="NQY49" s="952"/>
      <c r="NQZ49" s="952"/>
      <c r="NRA49" s="952"/>
      <c r="NRB49" s="952"/>
      <c r="NRC49" s="952"/>
      <c r="NRD49" s="952"/>
      <c r="NRE49" s="952"/>
      <c r="NRF49" s="952"/>
      <c r="NRG49" s="952"/>
      <c r="NRH49" s="952"/>
      <c r="NRI49" s="952"/>
      <c r="NRJ49" s="952"/>
      <c r="NRK49" s="952"/>
      <c r="NRL49" s="952"/>
      <c r="NRM49" s="952"/>
      <c r="NRN49" s="952"/>
      <c r="NRO49" s="952"/>
      <c r="NRP49" s="952"/>
      <c r="NRQ49" s="952"/>
      <c r="NRR49" s="952"/>
      <c r="NRS49" s="952"/>
      <c r="NRT49" s="952"/>
      <c r="NRU49" s="952"/>
      <c r="NRV49" s="952"/>
      <c r="NRW49" s="952"/>
      <c r="NRX49" s="952"/>
      <c r="NRY49" s="952"/>
      <c r="NRZ49" s="952"/>
      <c r="NSA49" s="952"/>
      <c r="NSB49" s="952"/>
      <c r="NSC49" s="952"/>
      <c r="NSD49" s="952"/>
      <c r="NSE49" s="952"/>
      <c r="NSF49" s="952"/>
      <c r="NSG49" s="952"/>
      <c r="NSH49" s="952"/>
      <c r="NSI49" s="952"/>
      <c r="NSJ49" s="952"/>
      <c r="NSK49" s="952"/>
      <c r="NSL49" s="952"/>
      <c r="NSM49" s="952"/>
      <c r="NSN49" s="952"/>
      <c r="NSO49" s="952"/>
      <c r="NSP49" s="952"/>
      <c r="NSQ49" s="952"/>
      <c r="NSR49" s="952"/>
      <c r="NSS49" s="952"/>
      <c r="NST49" s="952"/>
      <c r="NSU49" s="952"/>
      <c r="NSV49" s="952"/>
      <c r="NSW49" s="952"/>
      <c r="NSX49" s="952"/>
      <c r="NSY49" s="952"/>
      <c r="NSZ49" s="952"/>
      <c r="NTA49" s="952"/>
      <c r="NTB49" s="952"/>
      <c r="NTC49" s="952"/>
      <c r="NTD49" s="952"/>
      <c r="NTE49" s="952"/>
      <c r="NTF49" s="952"/>
      <c r="NTG49" s="952"/>
      <c r="NTH49" s="952"/>
      <c r="NTI49" s="952"/>
      <c r="NTJ49" s="952"/>
      <c r="NTK49" s="952"/>
      <c r="NTL49" s="952"/>
      <c r="NTM49" s="952"/>
      <c r="NTN49" s="952"/>
      <c r="NTO49" s="952"/>
      <c r="NTP49" s="952"/>
      <c r="NTQ49" s="952"/>
      <c r="NTR49" s="952"/>
      <c r="NTS49" s="952"/>
      <c r="NTT49" s="952"/>
      <c r="NTU49" s="952"/>
      <c r="NTV49" s="952"/>
      <c r="NTW49" s="952"/>
      <c r="NTX49" s="952"/>
      <c r="NTY49" s="952"/>
      <c r="NTZ49" s="952"/>
      <c r="NUA49" s="952"/>
      <c r="NUB49" s="952"/>
      <c r="NUC49" s="952"/>
      <c r="NUD49" s="952"/>
      <c r="NUE49" s="952"/>
      <c r="NUF49" s="952"/>
      <c r="NUG49" s="952"/>
      <c r="NUH49" s="952"/>
      <c r="NUI49" s="952"/>
      <c r="NUJ49" s="952"/>
      <c r="NUK49" s="952"/>
      <c r="NUL49" s="952"/>
      <c r="NUM49" s="952"/>
      <c r="NUN49" s="952"/>
      <c r="NUO49" s="952"/>
      <c r="NUP49" s="952"/>
      <c r="NUQ49" s="952"/>
      <c r="NUR49" s="952"/>
      <c r="NUS49" s="952"/>
      <c r="NUT49" s="952"/>
      <c r="NUU49" s="952"/>
      <c r="NUV49" s="952"/>
      <c r="NUW49" s="952"/>
      <c r="NUX49" s="952"/>
      <c r="NUY49" s="952"/>
      <c r="NUZ49" s="952"/>
      <c r="NVA49" s="952"/>
      <c r="NVB49" s="952"/>
      <c r="NVC49" s="952"/>
      <c r="NVD49" s="952"/>
      <c r="NVE49" s="952"/>
      <c r="NVF49" s="952"/>
      <c r="NVG49" s="952"/>
      <c r="NVH49" s="952"/>
      <c r="NVI49" s="952"/>
      <c r="NVJ49" s="952"/>
      <c r="NVK49" s="952"/>
      <c r="NVL49" s="952"/>
      <c r="NVM49" s="952"/>
      <c r="NVN49" s="952"/>
      <c r="NVO49" s="952"/>
      <c r="NVP49" s="952"/>
      <c r="NVQ49" s="952"/>
      <c r="NVR49" s="952"/>
      <c r="NVS49" s="952"/>
      <c r="NVT49" s="952"/>
      <c r="NVU49" s="952"/>
      <c r="NVV49" s="952"/>
      <c r="NVW49" s="952"/>
      <c r="NVX49" s="952"/>
      <c r="NVY49" s="952"/>
      <c r="NVZ49" s="952"/>
      <c r="NWA49" s="952"/>
      <c r="NWB49" s="952"/>
      <c r="NWC49" s="952"/>
      <c r="NWD49" s="952"/>
      <c r="NWE49" s="952"/>
      <c r="NWF49" s="952"/>
      <c r="NWG49" s="952"/>
      <c r="NWH49" s="952"/>
      <c r="NWI49" s="952"/>
      <c r="NWJ49" s="952"/>
      <c r="NWK49" s="952"/>
      <c r="NWL49" s="952"/>
      <c r="NWM49" s="952"/>
      <c r="NWN49" s="952"/>
      <c r="NWO49" s="952"/>
      <c r="NWP49" s="952"/>
      <c r="NWQ49" s="952"/>
      <c r="NWR49" s="952"/>
      <c r="NWS49" s="952"/>
      <c r="NWT49" s="952"/>
      <c r="NWU49" s="952"/>
      <c r="NWV49" s="952"/>
      <c r="NWW49" s="952"/>
      <c r="NWX49" s="952"/>
      <c r="NWY49" s="952"/>
      <c r="NWZ49" s="952"/>
      <c r="NXA49" s="952"/>
      <c r="NXB49" s="952"/>
      <c r="NXC49" s="952"/>
      <c r="NXD49" s="952"/>
      <c r="NXE49" s="952"/>
      <c r="NXF49" s="952"/>
      <c r="NXG49" s="952"/>
      <c r="NXH49" s="952"/>
      <c r="NXI49" s="952"/>
      <c r="NXJ49" s="952"/>
      <c r="NXK49" s="952"/>
      <c r="NXL49" s="952"/>
      <c r="NXM49" s="952"/>
      <c r="NXN49" s="952"/>
      <c r="NXO49" s="952"/>
      <c r="NXP49" s="952"/>
      <c r="NXQ49" s="952"/>
      <c r="NXR49" s="952"/>
      <c r="NXS49" s="952"/>
      <c r="NXT49" s="952"/>
      <c r="NXU49" s="952"/>
      <c r="NXV49" s="952"/>
      <c r="NXW49" s="952"/>
      <c r="NXX49" s="952"/>
      <c r="NXY49" s="952"/>
      <c r="NXZ49" s="952"/>
      <c r="NYA49" s="952"/>
      <c r="NYB49" s="952"/>
      <c r="NYC49" s="952"/>
      <c r="NYD49" s="952"/>
      <c r="NYE49" s="952"/>
      <c r="NYF49" s="952"/>
      <c r="NYG49" s="952"/>
      <c r="NYH49" s="952"/>
      <c r="NYI49" s="952"/>
      <c r="NYJ49" s="952"/>
      <c r="NYK49" s="952"/>
      <c r="NYL49" s="952"/>
      <c r="NYM49" s="952"/>
      <c r="NYN49" s="952"/>
      <c r="NYO49" s="952"/>
      <c r="NYP49" s="952"/>
      <c r="NYQ49" s="952"/>
      <c r="NYR49" s="952"/>
      <c r="NYS49" s="952"/>
      <c r="NYT49" s="952"/>
      <c r="NYU49" s="952"/>
      <c r="NYV49" s="952"/>
      <c r="NYW49" s="952"/>
      <c r="NYX49" s="952"/>
      <c r="NYY49" s="952"/>
      <c r="NYZ49" s="952"/>
      <c r="NZA49" s="952"/>
      <c r="NZB49" s="952"/>
      <c r="NZC49" s="952"/>
      <c r="NZD49" s="952"/>
      <c r="NZE49" s="952"/>
      <c r="NZF49" s="952"/>
      <c r="NZG49" s="952"/>
      <c r="NZH49" s="952"/>
      <c r="NZI49" s="952"/>
      <c r="NZJ49" s="952"/>
      <c r="NZK49" s="952"/>
      <c r="NZL49" s="952"/>
      <c r="NZM49" s="952"/>
      <c r="NZN49" s="952"/>
      <c r="NZO49" s="952"/>
      <c r="NZP49" s="952"/>
      <c r="NZQ49" s="952"/>
      <c r="NZR49" s="952"/>
      <c r="NZS49" s="952"/>
      <c r="NZT49" s="952"/>
      <c r="NZU49" s="952"/>
      <c r="NZV49" s="952"/>
      <c r="NZW49" s="952"/>
      <c r="NZX49" s="952"/>
      <c r="NZY49" s="952"/>
      <c r="NZZ49" s="952"/>
      <c r="OAA49" s="952"/>
      <c r="OAB49" s="952"/>
      <c r="OAC49" s="952"/>
      <c r="OAD49" s="952"/>
      <c r="OAE49" s="952"/>
      <c r="OAF49" s="952"/>
      <c r="OAG49" s="952"/>
      <c r="OAH49" s="952"/>
      <c r="OAI49" s="952"/>
      <c r="OAJ49" s="952"/>
      <c r="OAK49" s="952"/>
      <c r="OAL49" s="952"/>
      <c r="OAM49" s="952"/>
      <c r="OAN49" s="952"/>
      <c r="OAO49" s="952"/>
      <c r="OAP49" s="952"/>
      <c r="OAQ49" s="952"/>
      <c r="OAR49" s="952"/>
      <c r="OAS49" s="952"/>
      <c r="OAT49" s="952"/>
      <c r="OAU49" s="952"/>
      <c r="OAV49" s="952"/>
      <c r="OAW49" s="952"/>
      <c r="OAX49" s="952"/>
      <c r="OAY49" s="952"/>
      <c r="OAZ49" s="952"/>
      <c r="OBA49" s="952"/>
      <c r="OBB49" s="952"/>
      <c r="OBC49" s="952"/>
      <c r="OBD49" s="952"/>
      <c r="OBE49" s="952"/>
      <c r="OBF49" s="952"/>
      <c r="OBG49" s="952"/>
      <c r="OBH49" s="952"/>
      <c r="OBI49" s="952"/>
      <c r="OBJ49" s="952"/>
      <c r="OBK49" s="952"/>
      <c r="OBL49" s="952"/>
      <c r="OBM49" s="952"/>
      <c r="OBN49" s="952"/>
      <c r="OBO49" s="952"/>
      <c r="OBP49" s="952"/>
      <c r="OBQ49" s="952"/>
      <c r="OBR49" s="952"/>
      <c r="OBS49" s="952"/>
      <c r="OBT49" s="952"/>
      <c r="OBU49" s="952"/>
      <c r="OBV49" s="952"/>
      <c r="OBW49" s="952"/>
      <c r="OBX49" s="952"/>
      <c r="OBY49" s="952"/>
      <c r="OBZ49" s="952"/>
      <c r="OCA49" s="952"/>
      <c r="OCB49" s="952"/>
      <c r="OCC49" s="952"/>
      <c r="OCD49" s="952"/>
      <c r="OCE49" s="952"/>
      <c r="OCF49" s="952"/>
      <c r="OCG49" s="952"/>
      <c r="OCH49" s="952"/>
      <c r="OCI49" s="952"/>
      <c r="OCJ49" s="952"/>
      <c r="OCK49" s="952"/>
      <c r="OCL49" s="952"/>
      <c r="OCM49" s="952"/>
      <c r="OCN49" s="952"/>
      <c r="OCO49" s="952"/>
      <c r="OCP49" s="952"/>
      <c r="OCQ49" s="952"/>
      <c r="OCR49" s="952"/>
      <c r="OCS49" s="952"/>
      <c r="OCT49" s="952"/>
      <c r="OCU49" s="952"/>
      <c r="OCV49" s="952"/>
      <c r="OCW49" s="952"/>
      <c r="OCX49" s="952"/>
      <c r="OCY49" s="952"/>
      <c r="OCZ49" s="952"/>
      <c r="ODA49" s="952"/>
      <c r="ODB49" s="952"/>
      <c r="ODC49" s="952"/>
      <c r="ODD49" s="952"/>
      <c r="ODE49" s="952"/>
      <c r="ODF49" s="952"/>
      <c r="ODG49" s="952"/>
      <c r="ODH49" s="952"/>
      <c r="ODI49" s="952"/>
      <c r="ODJ49" s="952"/>
      <c r="ODK49" s="952"/>
      <c r="ODL49" s="952"/>
      <c r="ODM49" s="952"/>
      <c r="ODN49" s="952"/>
      <c r="ODO49" s="952"/>
      <c r="ODP49" s="952"/>
      <c r="ODQ49" s="952"/>
      <c r="ODR49" s="952"/>
      <c r="ODS49" s="952"/>
      <c r="ODT49" s="952"/>
      <c r="ODU49" s="952"/>
      <c r="ODV49" s="952"/>
      <c r="ODW49" s="952"/>
      <c r="ODX49" s="952"/>
      <c r="ODY49" s="952"/>
      <c r="ODZ49" s="952"/>
      <c r="OEA49" s="952"/>
      <c r="OEB49" s="952"/>
      <c r="OEC49" s="952"/>
      <c r="OED49" s="952"/>
      <c r="OEE49" s="952"/>
      <c r="OEF49" s="952"/>
      <c r="OEG49" s="952"/>
      <c r="OEH49" s="952"/>
      <c r="OEI49" s="952"/>
      <c r="OEJ49" s="952"/>
      <c r="OEK49" s="952"/>
      <c r="OEL49" s="952"/>
      <c r="OEM49" s="952"/>
      <c r="OEN49" s="952"/>
      <c r="OEO49" s="952"/>
      <c r="OEP49" s="952"/>
      <c r="OEQ49" s="952"/>
      <c r="OER49" s="952"/>
      <c r="OES49" s="952"/>
      <c r="OET49" s="952"/>
      <c r="OEU49" s="952"/>
      <c r="OEV49" s="952"/>
      <c r="OEW49" s="952"/>
      <c r="OEX49" s="952"/>
      <c r="OEY49" s="952"/>
      <c r="OEZ49" s="952"/>
      <c r="OFA49" s="952"/>
      <c r="OFB49" s="952"/>
      <c r="OFC49" s="952"/>
      <c r="OFD49" s="952"/>
      <c r="OFE49" s="952"/>
      <c r="OFF49" s="952"/>
      <c r="OFG49" s="952"/>
      <c r="OFH49" s="952"/>
      <c r="OFI49" s="952"/>
      <c r="OFJ49" s="952"/>
      <c r="OFK49" s="952"/>
      <c r="OFL49" s="952"/>
      <c r="OFM49" s="952"/>
      <c r="OFN49" s="952"/>
      <c r="OFO49" s="952"/>
      <c r="OFP49" s="952"/>
      <c r="OFQ49" s="952"/>
      <c r="OFR49" s="952"/>
      <c r="OFS49" s="952"/>
      <c r="OFT49" s="952"/>
      <c r="OFU49" s="952"/>
      <c r="OFV49" s="952"/>
      <c r="OFW49" s="952"/>
      <c r="OFX49" s="952"/>
      <c r="OFY49" s="952"/>
      <c r="OFZ49" s="952"/>
      <c r="OGA49" s="952"/>
      <c r="OGB49" s="952"/>
      <c r="OGC49" s="952"/>
      <c r="OGD49" s="952"/>
      <c r="OGE49" s="952"/>
      <c r="OGF49" s="952"/>
      <c r="OGG49" s="952"/>
      <c r="OGH49" s="952"/>
      <c r="OGI49" s="952"/>
      <c r="OGJ49" s="952"/>
      <c r="OGK49" s="952"/>
      <c r="OGL49" s="952"/>
      <c r="OGM49" s="952"/>
      <c r="OGN49" s="952"/>
      <c r="OGO49" s="952"/>
      <c r="OGP49" s="952"/>
      <c r="OGQ49" s="952"/>
      <c r="OGR49" s="952"/>
      <c r="OGS49" s="952"/>
      <c r="OGT49" s="952"/>
      <c r="OGU49" s="952"/>
      <c r="OGV49" s="952"/>
      <c r="OGW49" s="952"/>
      <c r="OGX49" s="952"/>
      <c r="OGY49" s="952"/>
      <c r="OGZ49" s="952"/>
      <c r="OHA49" s="952"/>
      <c r="OHB49" s="952"/>
      <c r="OHC49" s="952"/>
      <c r="OHD49" s="952"/>
      <c r="OHE49" s="952"/>
      <c r="OHF49" s="952"/>
      <c r="OHG49" s="952"/>
      <c r="OHH49" s="952"/>
      <c r="OHI49" s="952"/>
      <c r="OHJ49" s="952"/>
      <c r="OHK49" s="952"/>
      <c r="OHL49" s="952"/>
      <c r="OHM49" s="952"/>
      <c r="OHN49" s="952"/>
      <c r="OHO49" s="952"/>
      <c r="OHP49" s="952"/>
      <c r="OHQ49" s="952"/>
      <c r="OHR49" s="952"/>
      <c r="OHS49" s="952"/>
      <c r="OHT49" s="952"/>
      <c r="OHU49" s="952"/>
      <c r="OHV49" s="952"/>
      <c r="OHW49" s="952"/>
      <c r="OHX49" s="952"/>
      <c r="OHY49" s="952"/>
      <c r="OHZ49" s="952"/>
      <c r="OIA49" s="952"/>
      <c r="OIB49" s="952"/>
      <c r="OIC49" s="952"/>
      <c r="OID49" s="952"/>
      <c r="OIE49" s="952"/>
      <c r="OIF49" s="952"/>
      <c r="OIG49" s="952"/>
      <c r="OIH49" s="952"/>
      <c r="OII49" s="952"/>
      <c r="OIJ49" s="952"/>
      <c r="OIK49" s="952"/>
      <c r="OIL49" s="952"/>
      <c r="OIM49" s="952"/>
      <c r="OIN49" s="952"/>
      <c r="OIO49" s="952"/>
      <c r="OIP49" s="952"/>
      <c r="OIQ49" s="952"/>
      <c r="OIR49" s="952"/>
      <c r="OIS49" s="952"/>
      <c r="OIT49" s="952"/>
      <c r="OIU49" s="952"/>
      <c r="OIV49" s="952"/>
      <c r="OIW49" s="952"/>
      <c r="OIX49" s="952"/>
      <c r="OIY49" s="952"/>
      <c r="OIZ49" s="952"/>
      <c r="OJA49" s="952"/>
      <c r="OJB49" s="952"/>
      <c r="OJC49" s="952"/>
      <c r="OJD49" s="952"/>
      <c r="OJE49" s="952"/>
      <c r="OJF49" s="952"/>
      <c r="OJG49" s="952"/>
      <c r="OJH49" s="952"/>
      <c r="OJI49" s="952"/>
      <c r="OJJ49" s="952"/>
      <c r="OJK49" s="952"/>
      <c r="OJL49" s="952"/>
      <c r="OJM49" s="952"/>
      <c r="OJN49" s="952"/>
      <c r="OJO49" s="952"/>
      <c r="OJP49" s="952"/>
      <c r="OJQ49" s="952"/>
      <c r="OJR49" s="952"/>
      <c r="OJS49" s="952"/>
      <c r="OJT49" s="952"/>
      <c r="OJU49" s="952"/>
      <c r="OJV49" s="952"/>
      <c r="OJW49" s="952"/>
      <c r="OJX49" s="952"/>
      <c r="OJY49" s="952"/>
      <c r="OJZ49" s="952"/>
      <c r="OKA49" s="952"/>
      <c r="OKB49" s="952"/>
      <c r="OKC49" s="952"/>
      <c r="OKD49" s="952"/>
      <c r="OKE49" s="952"/>
      <c r="OKF49" s="952"/>
      <c r="OKG49" s="952"/>
      <c r="OKH49" s="952"/>
      <c r="OKI49" s="952"/>
      <c r="OKJ49" s="952"/>
      <c r="OKK49" s="952"/>
      <c r="OKL49" s="952"/>
      <c r="OKM49" s="952"/>
      <c r="OKN49" s="952"/>
      <c r="OKO49" s="952"/>
      <c r="OKP49" s="952"/>
      <c r="OKQ49" s="952"/>
      <c r="OKR49" s="952"/>
      <c r="OKS49" s="952"/>
      <c r="OKT49" s="952"/>
      <c r="OKU49" s="952"/>
      <c r="OKV49" s="952"/>
      <c r="OKW49" s="952"/>
      <c r="OKX49" s="952"/>
      <c r="OKY49" s="952"/>
      <c r="OKZ49" s="952"/>
      <c r="OLA49" s="952"/>
      <c r="OLB49" s="952"/>
      <c r="OLC49" s="952"/>
      <c r="OLD49" s="952"/>
      <c r="OLE49" s="952"/>
      <c r="OLF49" s="952"/>
      <c r="OLG49" s="952"/>
      <c r="OLH49" s="952"/>
      <c r="OLI49" s="952"/>
      <c r="OLJ49" s="952"/>
      <c r="OLK49" s="952"/>
      <c r="OLL49" s="952"/>
      <c r="OLM49" s="952"/>
      <c r="OLN49" s="952"/>
      <c r="OLO49" s="952"/>
      <c r="OLP49" s="952"/>
      <c r="OLQ49" s="952"/>
      <c r="OLR49" s="952"/>
      <c r="OLS49" s="952"/>
      <c r="OLT49" s="952"/>
      <c r="OLU49" s="952"/>
      <c r="OLV49" s="952"/>
      <c r="OLW49" s="952"/>
      <c r="OLX49" s="952"/>
      <c r="OLY49" s="952"/>
      <c r="OLZ49" s="952"/>
      <c r="OMA49" s="952"/>
      <c r="OMB49" s="952"/>
      <c r="OMC49" s="952"/>
      <c r="OMD49" s="952"/>
      <c r="OME49" s="952"/>
      <c r="OMF49" s="952"/>
      <c r="OMG49" s="952"/>
      <c r="OMH49" s="952"/>
      <c r="OMI49" s="952"/>
      <c r="OMJ49" s="952"/>
      <c r="OMK49" s="952"/>
      <c r="OML49" s="952"/>
      <c r="OMM49" s="952"/>
      <c r="OMN49" s="952"/>
      <c r="OMO49" s="952"/>
      <c r="OMP49" s="952"/>
      <c r="OMQ49" s="952"/>
      <c r="OMR49" s="952"/>
      <c r="OMS49" s="952"/>
      <c r="OMT49" s="952"/>
      <c r="OMU49" s="952"/>
      <c r="OMV49" s="952"/>
      <c r="OMW49" s="952"/>
      <c r="OMX49" s="952"/>
      <c r="OMY49" s="952"/>
      <c r="OMZ49" s="952"/>
      <c r="ONA49" s="952"/>
      <c r="ONB49" s="952"/>
      <c r="ONC49" s="952"/>
      <c r="OND49" s="952"/>
      <c r="ONE49" s="952"/>
      <c r="ONF49" s="952"/>
      <c r="ONG49" s="952"/>
      <c r="ONH49" s="952"/>
      <c r="ONI49" s="952"/>
      <c r="ONJ49" s="952"/>
      <c r="ONK49" s="952"/>
      <c r="ONL49" s="952"/>
      <c r="ONM49" s="952"/>
      <c r="ONN49" s="952"/>
      <c r="ONO49" s="952"/>
      <c r="ONP49" s="952"/>
      <c r="ONQ49" s="952"/>
      <c r="ONR49" s="952"/>
      <c r="ONS49" s="952"/>
      <c r="ONT49" s="952"/>
      <c r="ONU49" s="952"/>
      <c r="ONV49" s="952"/>
      <c r="ONW49" s="952"/>
      <c r="ONX49" s="952"/>
      <c r="ONY49" s="952"/>
      <c r="ONZ49" s="952"/>
      <c r="OOA49" s="952"/>
      <c r="OOB49" s="952"/>
      <c r="OOC49" s="952"/>
      <c r="OOD49" s="952"/>
      <c r="OOE49" s="952"/>
      <c r="OOF49" s="952"/>
      <c r="OOG49" s="952"/>
      <c r="OOH49" s="952"/>
      <c r="OOI49" s="952"/>
      <c r="OOJ49" s="952"/>
      <c r="OOK49" s="952"/>
      <c r="OOL49" s="952"/>
      <c r="OOM49" s="952"/>
      <c r="OON49" s="952"/>
      <c r="OOO49" s="952"/>
      <c r="OOP49" s="952"/>
      <c r="OOQ49" s="952"/>
      <c r="OOR49" s="952"/>
      <c r="OOS49" s="952"/>
      <c r="OOT49" s="952"/>
      <c r="OOU49" s="952"/>
      <c r="OOV49" s="952"/>
      <c r="OOW49" s="952"/>
      <c r="OOX49" s="952"/>
      <c r="OOY49" s="952"/>
      <c r="OOZ49" s="952"/>
      <c r="OPA49" s="952"/>
      <c r="OPB49" s="952"/>
      <c r="OPC49" s="952"/>
      <c r="OPD49" s="952"/>
      <c r="OPE49" s="952"/>
      <c r="OPF49" s="952"/>
      <c r="OPG49" s="952"/>
      <c r="OPH49" s="952"/>
      <c r="OPI49" s="952"/>
      <c r="OPJ49" s="952"/>
      <c r="OPK49" s="952"/>
      <c r="OPL49" s="952"/>
      <c r="OPM49" s="952"/>
      <c r="OPN49" s="952"/>
      <c r="OPO49" s="952"/>
      <c r="OPP49" s="952"/>
      <c r="OPQ49" s="952"/>
      <c r="OPR49" s="952"/>
      <c r="OPS49" s="952"/>
      <c r="OPT49" s="952"/>
      <c r="OPU49" s="952"/>
      <c r="OPV49" s="952"/>
      <c r="OPW49" s="952"/>
      <c r="OPX49" s="952"/>
      <c r="OPY49" s="952"/>
      <c r="OPZ49" s="952"/>
      <c r="OQA49" s="952"/>
      <c r="OQB49" s="952"/>
      <c r="OQC49" s="952"/>
      <c r="OQD49" s="952"/>
      <c r="OQE49" s="952"/>
      <c r="OQF49" s="952"/>
      <c r="OQG49" s="952"/>
      <c r="OQH49" s="952"/>
      <c r="OQI49" s="952"/>
      <c r="OQJ49" s="952"/>
      <c r="OQK49" s="952"/>
      <c r="OQL49" s="952"/>
      <c r="OQM49" s="952"/>
      <c r="OQN49" s="952"/>
      <c r="OQO49" s="952"/>
      <c r="OQP49" s="952"/>
      <c r="OQQ49" s="952"/>
      <c r="OQR49" s="952"/>
      <c r="OQS49" s="952"/>
      <c r="OQT49" s="952"/>
      <c r="OQU49" s="952"/>
      <c r="OQV49" s="952"/>
      <c r="OQW49" s="952"/>
      <c r="OQX49" s="952"/>
      <c r="OQY49" s="952"/>
      <c r="OQZ49" s="952"/>
      <c r="ORA49" s="952"/>
      <c r="ORB49" s="952"/>
      <c r="ORC49" s="952"/>
      <c r="ORD49" s="952"/>
      <c r="ORE49" s="952"/>
      <c r="ORF49" s="952"/>
      <c r="ORG49" s="952"/>
      <c r="ORH49" s="952"/>
      <c r="ORI49" s="952"/>
      <c r="ORJ49" s="952"/>
      <c r="ORK49" s="952"/>
      <c r="ORL49" s="952"/>
      <c r="ORM49" s="952"/>
      <c r="ORN49" s="952"/>
      <c r="ORO49" s="952"/>
      <c r="ORP49" s="952"/>
      <c r="ORQ49" s="952"/>
      <c r="ORR49" s="952"/>
      <c r="ORS49" s="952"/>
      <c r="ORT49" s="952"/>
      <c r="ORU49" s="952"/>
      <c r="ORV49" s="952"/>
      <c r="ORW49" s="952"/>
      <c r="ORX49" s="952"/>
      <c r="ORY49" s="952"/>
      <c r="ORZ49" s="952"/>
      <c r="OSA49" s="952"/>
      <c r="OSB49" s="952"/>
      <c r="OSC49" s="952"/>
      <c r="OSD49" s="952"/>
      <c r="OSE49" s="952"/>
      <c r="OSF49" s="952"/>
      <c r="OSG49" s="952"/>
      <c r="OSH49" s="952"/>
      <c r="OSI49" s="952"/>
      <c r="OSJ49" s="952"/>
      <c r="OSK49" s="952"/>
      <c r="OSL49" s="952"/>
      <c r="OSM49" s="952"/>
      <c r="OSN49" s="952"/>
      <c r="OSO49" s="952"/>
      <c r="OSP49" s="952"/>
      <c r="OSQ49" s="952"/>
      <c r="OSR49" s="952"/>
      <c r="OSS49" s="952"/>
      <c r="OST49" s="952"/>
      <c r="OSU49" s="952"/>
      <c r="OSV49" s="952"/>
      <c r="OSW49" s="952"/>
      <c r="OSX49" s="952"/>
      <c r="OSY49" s="952"/>
      <c r="OSZ49" s="952"/>
      <c r="OTA49" s="952"/>
      <c r="OTB49" s="952"/>
      <c r="OTC49" s="952"/>
      <c r="OTD49" s="952"/>
      <c r="OTE49" s="952"/>
      <c r="OTF49" s="952"/>
      <c r="OTG49" s="952"/>
      <c r="OTH49" s="952"/>
      <c r="OTI49" s="952"/>
      <c r="OTJ49" s="952"/>
      <c r="OTK49" s="952"/>
      <c r="OTL49" s="952"/>
      <c r="OTM49" s="952"/>
      <c r="OTN49" s="952"/>
      <c r="OTO49" s="952"/>
      <c r="OTP49" s="952"/>
      <c r="OTQ49" s="952"/>
      <c r="OTR49" s="952"/>
      <c r="OTS49" s="952"/>
      <c r="OTT49" s="952"/>
      <c r="OTU49" s="952"/>
      <c r="OTV49" s="952"/>
      <c r="OTW49" s="952"/>
      <c r="OTX49" s="952"/>
      <c r="OTY49" s="952"/>
      <c r="OTZ49" s="952"/>
      <c r="OUA49" s="952"/>
      <c r="OUB49" s="952"/>
      <c r="OUC49" s="952"/>
      <c r="OUD49" s="952"/>
      <c r="OUE49" s="952"/>
      <c r="OUF49" s="952"/>
      <c r="OUG49" s="952"/>
      <c r="OUH49" s="952"/>
      <c r="OUI49" s="952"/>
      <c r="OUJ49" s="952"/>
      <c r="OUK49" s="952"/>
      <c r="OUL49" s="952"/>
      <c r="OUM49" s="952"/>
      <c r="OUN49" s="952"/>
      <c r="OUO49" s="952"/>
      <c r="OUP49" s="952"/>
      <c r="OUQ49" s="952"/>
      <c r="OUR49" s="952"/>
      <c r="OUS49" s="952"/>
      <c r="OUT49" s="952"/>
      <c r="OUU49" s="952"/>
      <c r="OUV49" s="952"/>
      <c r="OUW49" s="952"/>
      <c r="OUX49" s="952"/>
      <c r="OUY49" s="952"/>
      <c r="OUZ49" s="952"/>
      <c r="OVA49" s="952"/>
      <c r="OVB49" s="952"/>
      <c r="OVC49" s="952"/>
      <c r="OVD49" s="952"/>
      <c r="OVE49" s="952"/>
      <c r="OVF49" s="952"/>
      <c r="OVG49" s="952"/>
      <c r="OVH49" s="952"/>
      <c r="OVI49" s="952"/>
      <c r="OVJ49" s="952"/>
      <c r="OVK49" s="952"/>
      <c r="OVL49" s="952"/>
      <c r="OVM49" s="952"/>
      <c r="OVN49" s="952"/>
      <c r="OVO49" s="952"/>
      <c r="OVP49" s="952"/>
      <c r="OVQ49" s="952"/>
      <c r="OVR49" s="952"/>
      <c r="OVS49" s="952"/>
      <c r="OVT49" s="952"/>
      <c r="OVU49" s="952"/>
      <c r="OVV49" s="952"/>
      <c r="OVW49" s="952"/>
      <c r="OVX49" s="952"/>
      <c r="OVY49" s="952"/>
      <c r="OVZ49" s="952"/>
      <c r="OWA49" s="952"/>
      <c r="OWB49" s="952"/>
      <c r="OWC49" s="952"/>
      <c r="OWD49" s="952"/>
      <c r="OWE49" s="952"/>
      <c r="OWF49" s="952"/>
      <c r="OWG49" s="952"/>
      <c r="OWH49" s="952"/>
      <c r="OWI49" s="952"/>
      <c r="OWJ49" s="952"/>
      <c r="OWK49" s="952"/>
      <c r="OWL49" s="952"/>
      <c r="OWM49" s="952"/>
      <c r="OWN49" s="952"/>
      <c r="OWO49" s="952"/>
      <c r="OWP49" s="952"/>
      <c r="OWQ49" s="952"/>
      <c r="OWR49" s="952"/>
      <c r="OWS49" s="952"/>
      <c r="OWT49" s="952"/>
      <c r="OWU49" s="952"/>
      <c r="OWV49" s="952"/>
      <c r="OWW49" s="952"/>
      <c r="OWX49" s="952"/>
      <c r="OWY49" s="952"/>
      <c r="OWZ49" s="952"/>
      <c r="OXA49" s="952"/>
      <c r="OXB49" s="952"/>
      <c r="OXC49" s="952"/>
      <c r="OXD49" s="952"/>
      <c r="OXE49" s="952"/>
      <c r="OXF49" s="952"/>
      <c r="OXG49" s="952"/>
      <c r="OXH49" s="952"/>
      <c r="OXI49" s="952"/>
      <c r="OXJ49" s="952"/>
      <c r="OXK49" s="952"/>
      <c r="OXL49" s="952"/>
      <c r="OXM49" s="952"/>
      <c r="OXN49" s="952"/>
      <c r="OXO49" s="952"/>
      <c r="OXP49" s="952"/>
      <c r="OXQ49" s="952"/>
      <c r="OXR49" s="952"/>
      <c r="OXS49" s="952"/>
      <c r="OXT49" s="952"/>
      <c r="OXU49" s="952"/>
      <c r="OXV49" s="952"/>
      <c r="OXW49" s="952"/>
      <c r="OXX49" s="952"/>
      <c r="OXY49" s="952"/>
      <c r="OXZ49" s="952"/>
      <c r="OYA49" s="952"/>
      <c r="OYB49" s="952"/>
      <c r="OYC49" s="952"/>
      <c r="OYD49" s="952"/>
      <c r="OYE49" s="952"/>
      <c r="OYF49" s="952"/>
      <c r="OYG49" s="952"/>
      <c r="OYH49" s="952"/>
      <c r="OYI49" s="952"/>
      <c r="OYJ49" s="952"/>
      <c r="OYK49" s="952"/>
      <c r="OYL49" s="952"/>
      <c r="OYM49" s="952"/>
      <c r="OYN49" s="952"/>
      <c r="OYO49" s="952"/>
      <c r="OYP49" s="952"/>
      <c r="OYQ49" s="952"/>
      <c r="OYR49" s="952"/>
      <c r="OYS49" s="952"/>
      <c r="OYT49" s="952"/>
      <c r="OYU49" s="952"/>
      <c r="OYV49" s="952"/>
      <c r="OYW49" s="952"/>
      <c r="OYX49" s="952"/>
      <c r="OYY49" s="952"/>
      <c r="OYZ49" s="952"/>
      <c r="OZA49" s="952"/>
      <c r="OZB49" s="952"/>
      <c r="OZC49" s="952"/>
      <c r="OZD49" s="952"/>
      <c r="OZE49" s="952"/>
      <c r="OZF49" s="952"/>
      <c r="OZG49" s="952"/>
      <c r="OZH49" s="952"/>
      <c r="OZI49" s="952"/>
      <c r="OZJ49" s="952"/>
      <c r="OZK49" s="952"/>
      <c r="OZL49" s="952"/>
      <c r="OZM49" s="952"/>
      <c r="OZN49" s="952"/>
      <c r="OZO49" s="952"/>
      <c r="OZP49" s="952"/>
      <c r="OZQ49" s="952"/>
      <c r="OZR49" s="952"/>
      <c r="OZS49" s="952"/>
      <c r="OZT49" s="952"/>
      <c r="OZU49" s="952"/>
      <c r="OZV49" s="952"/>
      <c r="OZW49" s="952"/>
      <c r="OZX49" s="952"/>
      <c r="OZY49" s="952"/>
      <c r="OZZ49" s="952"/>
      <c r="PAA49" s="952"/>
      <c r="PAB49" s="952"/>
      <c r="PAC49" s="952"/>
      <c r="PAD49" s="952"/>
      <c r="PAE49" s="952"/>
      <c r="PAF49" s="952"/>
      <c r="PAG49" s="952"/>
      <c r="PAH49" s="952"/>
      <c r="PAI49" s="952"/>
      <c r="PAJ49" s="952"/>
      <c r="PAK49" s="952"/>
      <c r="PAL49" s="952"/>
      <c r="PAM49" s="952"/>
      <c r="PAN49" s="952"/>
      <c r="PAO49" s="952"/>
      <c r="PAP49" s="952"/>
      <c r="PAQ49" s="952"/>
      <c r="PAR49" s="952"/>
      <c r="PAS49" s="952"/>
      <c r="PAT49" s="952"/>
      <c r="PAU49" s="952"/>
      <c r="PAV49" s="952"/>
      <c r="PAW49" s="952"/>
      <c r="PAX49" s="952"/>
      <c r="PAY49" s="952"/>
      <c r="PAZ49" s="952"/>
      <c r="PBA49" s="952"/>
      <c r="PBB49" s="952"/>
      <c r="PBC49" s="952"/>
      <c r="PBD49" s="952"/>
      <c r="PBE49" s="952"/>
      <c r="PBF49" s="952"/>
      <c r="PBG49" s="952"/>
      <c r="PBH49" s="952"/>
      <c r="PBI49" s="952"/>
      <c r="PBJ49" s="952"/>
      <c r="PBK49" s="952"/>
      <c r="PBL49" s="952"/>
      <c r="PBM49" s="952"/>
      <c r="PBN49" s="952"/>
      <c r="PBO49" s="952"/>
      <c r="PBP49" s="952"/>
      <c r="PBQ49" s="952"/>
      <c r="PBR49" s="952"/>
      <c r="PBS49" s="952"/>
      <c r="PBT49" s="952"/>
      <c r="PBU49" s="952"/>
      <c r="PBV49" s="952"/>
      <c r="PBW49" s="952"/>
      <c r="PBX49" s="952"/>
      <c r="PBY49" s="952"/>
      <c r="PBZ49" s="952"/>
      <c r="PCA49" s="952"/>
      <c r="PCB49" s="952"/>
      <c r="PCC49" s="952"/>
      <c r="PCD49" s="952"/>
      <c r="PCE49" s="952"/>
      <c r="PCF49" s="952"/>
      <c r="PCG49" s="952"/>
      <c r="PCH49" s="952"/>
      <c r="PCI49" s="952"/>
      <c r="PCJ49" s="952"/>
      <c r="PCK49" s="952"/>
      <c r="PCL49" s="952"/>
      <c r="PCM49" s="952"/>
      <c r="PCN49" s="952"/>
      <c r="PCO49" s="952"/>
      <c r="PCP49" s="952"/>
      <c r="PCQ49" s="952"/>
      <c r="PCR49" s="952"/>
      <c r="PCS49" s="952"/>
      <c r="PCT49" s="952"/>
      <c r="PCU49" s="952"/>
      <c r="PCV49" s="952"/>
      <c r="PCW49" s="952"/>
      <c r="PCX49" s="952"/>
      <c r="PCY49" s="952"/>
      <c r="PCZ49" s="952"/>
      <c r="PDA49" s="952"/>
      <c r="PDB49" s="952"/>
      <c r="PDC49" s="952"/>
      <c r="PDD49" s="952"/>
      <c r="PDE49" s="952"/>
      <c r="PDF49" s="952"/>
      <c r="PDG49" s="952"/>
      <c r="PDH49" s="952"/>
      <c r="PDI49" s="952"/>
      <c r="PDJ49" s="952"/>
      <c r="PDK49" s="952"/>
      <c r="PDL49" s="952"/>
      <c r="PDM49" s="952"/>
      <c r="PDN49" s="952"/>
      <c r="PDO49" s="952"/>
      <c r="PDP49" s="952"/>
      <c r="PDQ49" s="952"/>
      <c r="PDR49" s="952"/>
      <c r="PDS49" s="952"/>
      <c r="PDT49" s="952"/>
      <c r="PDU49" s="952"/>
      <c r="PDV49" s="952"/>
      <c r="PDW49" s="952"/>
      <c r="PDX49" s="952"/>
      <c r="PDY49" s="952"/>
      <c r="PDZ49" s="952"/>
      <c r="PEA49" s="952"/>
      <c r="PEB49" s="952"/>
      <c r="PEC49" s="952"/>
      <c r="PED49" s="952"/>
      <c r="PEE49" s="952"/>
      <c r="PEF49" s="952"/>
      <c r="PEG49" s="952"/>
      <c r="PEH49" s="952"/>
      <c r="PEI49" s="952"/>
      <c r="PEJ49" s="952"/>
      <c r="PEK49" s="952"/>
      <c r="PEL49" s="952"/>
      <c r="PEM49" s="952"/>
      <c r="PEN49" s="952"/>
      <c r="PEO49" s="952"/>
      <c r="PEP49" s="952"/>
      <c r="PEQ49" s="952"/>
      <c r="PER49" s="952"/>
      <c r="PES49" s="952"/>
      <c r="PET49" s="952"/>
      <c r="PEU49" s="952"/>
      <c r="PEV49" s="952"/>
      <c r="PEW49" s="952"/>
      <c r="PEX49" s="952"/>
      <c r="PEY49" s="952"/>
      <c r="PEZ49" s="952"/>
      <c r="PFA49" s="952"/>
      <c r="PFB49" s="952"/>
      <c r="PFC49" s="952"/>
      <c r="PFD49" s="952"/>
      <c r="PFE49" s="952"/>
      <c r="PFF49" s="952"/>
      <c r="PFG49" s="952"/>
      <c r="PFH49" s="952"/>
      <c r="PFI49" s="952"/>
      <c r="PFJ49" s="952"/>
      <c r="PFK49" s="952"/>
      <c r="PFL49" s="952"/>
      <c r="PFM49" s="952"/>
      <c r="PFN49" s="952"/>
      <c r="PFO49" s="952"/>
      <c r="PFP49" s="952"/>
      <c r="PFQ49" s="952"/>
      <c r="PFR49" s="952"/>
      <c r="PFS49" s="952"/>
      <c r="PFT49" s="952"/>
      <c r="PFU49" s="952"/>
      <c r="PFV49" s="952"/>
      <c r="PFW49" s="952"/>
      <c r="PFX49" s="952"/>
      <c r="PFY49" s="952"/>
      <c r="PFZ49" s="952"/>
      <c r="PGA49" s="952"/>
      <c r="PGB49" s="952"/>
      <c r="PGC49" s="952"/>
      <c r="PGD49" s="952"/>
      <c r="PGE49" s="952"/>
      <c r="PGF49" s="952"/>
      <c r="PGG49" s="952"/>
      <c r="PGH49" s="952"/>
      <c r="PGI49" s="952"/>
      <c r="PGJ49" s="952"/>
      <c r="PGK49" s="952"/>
      <c r="PGL49" s="952"/>
      <c r="PGM49" s="952"/>
      <c r="PGN49" s="952"/>
      <c r="PGO49" s="952"/>
      <c r="PGP49" s="952"/>
      <c r="PGQ49" s="952"/>
      <c r="PGR49" s="952"/>
      <c r="PGS49" s="952"/>
      <c r="PGT49" s="952"/>
      <c r="PGU49" s="952"/>
      <c r="PGV49" s="952"/>
      <c r="PGW49" s="952"/>
      <c r="PGX49" s="952"/>
      <c r="PGY49" s="952"/>
      <c r="PGZ49" s="952"/>
      <c r="PHA49" s="952"/>
      <c r="PHB49" s="952"/>
      <c r="PHC49" s="952"/>
      <c r="PHD49" s="952"/>
      <c r="PHE49" s="952"/>
      <c r="PHF49" s="952"/>
      <c r="PHG49" s="952"/>
      <c r="PHH49" s="952"/>
      <c r="PHI49" s="952"/>
      <c r="PHJ49" s="952"/>
      <c r="PHK49" s="952"/>
      <c r="PHL49" s="952"/>
      <c r="PHM49" s="952"/>
      <c r="PHN49" s="952"/>
      <c r="PHO49" s="952"/>
      <c r="PHP49" s="952"/>
      <c r="PHQ49" s="952"/>
      <c r="PHR49" s="952"/>
      <c r="PHS49" s="952"/>
      <c r="PHT49" s="952"/>
      <c r="PHU49" s="952"/>
      <c r="PHV49" s="952"/>
      <c r="PHW49" s="952"/>
      <c r="PHX49" s="952"/>
      <c r="PHY49" s="952"/>
      <c r="PHZ49" s="952"/>
      <c r="PIA49" s="952"/>
      <c r="PIB49" s="952"/>
      <c r="PIC49" s="952"/>
      <c r="PID49" s="952"/>
      <c r="PIE49" s="952"/>
      <c r="PIF49" s="952"/>
      <c r="PIG49" s="952"/>
      <c r="PIH49" s="952"/>
      <c r="PII49" s="952"/>
      <c r="PIJ49" s="952"/>
      <c r="PIK49" s="952"/>
      <c r="PIL49" s="952"/>
      <c r="PIM49" s="952"/>
      <c r="PIN49" s="952"/>
      <c r="PIO49" s="952"/>
      <c r="PIP49" s="952"/>
      <c r="PIQ49" s="952"/>
      <c r="PIR49" s="952"/>
      <c r="PIS49" s="952"/>
      <c r="PIT49" s="952"/>
      <c r="PIU49" s="952"/>
      <c r="PIV49" s="952"/>
      <c r="PIW49" s="952"/>
      <c r="PIX49" s="952"/>
      <c r="PIY49" s="952"/>
      <c r="PIZ49" s="952"/>
      <c r="PJA49" s="952"/>
      <c r="PJB49" s="952"/>
      <c r="PJC49" s="952"/>
      <c r="PJD49" s="952"/>
      <c r="PJE49" s="952"/>
      <c r="PJF49" s="952"/>
      <c r="PJG49" s="952"/>
      <c r="PJH49" s="952"/>
      <c r="PJI49" s="952"/>
      <c r="PJJ49" s="952"/>
      <c r="PJK49" s="952"/>
      <c r="PJL49" s="952"/>
      <c r="PJM49" s="952"/>
      <c r="PJN49" s="952"/>
      <c r="PJO49" s="952"/>
      <c r="PJP49" s="952"/>
      <c r="PJQ49" s="952"/>
      <c r="PJR49" s="952"/>
      <c r="PJS49" s="952"/>
      <c r="PJT49" s="952"/>
      <c r="PJU49" s="952"/>
      <c r="PJV49" s="952"/>
      <c r="PJW49" s="952"/>
      <c r="PJX49" s="952"/>
      <c r="PJY49" s="952"/>
      <c r="PJZ49" s="952"/>
      <c r="PKA49" s="952"/>
      <c r="PKB49" s="952"/>
      <c r="PKC49" s="952"/>
      <c r="PKD49" s="952"/>
      <c r="PKE49" s="952"/>
      <c r="PKF49" s="952"/>
      <c r="PKG49" s="952"/>
      <c r="PKH49" s="952"/>
      <c r="PKI49" s="952"/>
      <c r="PKJ49" s="952"/>
      <c r="PKK49" s="952"/>
      <c r="PKL49" s="952"/>
      <c r="PKM49" s="952"/>
      <c r="PKN49" s="952"/>
      <c r="PKO49" s="952"/>
      <c r="PKP49" s="952"/>
      <c r="PKQ49" s="952"/>
      <c r="PKR49" s="952"/>
      <c r="PKS49" s="952"/>
      <c r="PKT49" s="952"/>
      <c r="PKU49" s="952"/>
      <c r="PKV49" s="952"/>
      <c r="PKW49" s="952"/>
      <c r="PKX49" s="952"/>
      <c r="PKY49" s="952"/>
      <c r="PKZ49" s="952"/>
      <c r="PLA49" s="952"/>
      <c r="PLB49" s="952"/>
      <c r="PLC49" s="952"/>
      <c r="PLD49" s="952"/>
      <c r="PLE49" s="952"/>
      <c r="PLF49" s="952"/>
      <c r="PLG49" s="952"/>
      <c r="PLH49" s="952"/>
      <c r="PLI49" s="952"/>
      <c r="PLJ49" s="952"/>
      <c r="PLK49" s="952"/>
      <c r="PLL49" s="952"/>
      <c r="PLM49" s="952"/>
      <c r="PLN49" s="952"/>
      <c r="PLO49" s="952"/>
      <c r="PLP49" s="952"/>
      <c r="PLQ49" s="952"/>
      <c r="PLR49" s="952"/>
      <c r="PLS49" s="952"/>
      <c r="PLT49" s="952"/>
      <c r="PLU49" s="952"/>
      <c r="PLV49" s="952"/>
      <c r="PLW49" s="952"/>
      <c r="PLX49" s="952"/>
      <c r="PLY49" s="952"/>
      <c r="PLZ49" s="952"/>
      <c r="PMA49" s="952"/>
      <c r="PMB49" s="952"/>
      <c r="PMC49" s="952"/>
      <c r="PMD49" s="952"/>
      <c r="PME49" s="952"/>
      <c r="PMF49" s="952"/>
      <c r="PMG49" s="952"/>
      <c r="PMH49" s="952"/>
      <c r="PMI49" s="952"/>
      <c r="PMJ49" s="952"/>
      <c r="PMK49" s="952"/>
      <c r="PML49" s="952"/>
      <c r="PMM49" s="952"/>
      <c r="PMN49" s="952"/>
      <c r="PMO49" s="952"/>
      <c r="PMP49" s="952"/>
      <c r="PMQ49" s="952"/>
      <c r="PMR49" s="952"/>
      <c r="PMS49" s="952"/>
      <c r="PMT49" s="952"/>
      <c r="PMU49" s="952"/>
      <c r="PMV49" s="952"/>
      <c r="PMW49" s="952"/>
      <c r="PMX49" s="952"/>
      <c r="PMY49" s="952"/>
      <c r="PMZ49" s="952"/>
      <c r="PNA49" s="952"/>
      <c r="PNB49" s="952"/>
      <c r="PNC49" s="952"/>
      <c r="PND49" s="952"/>
      <c r="PNE49" s="952"/>
      <c r="PNF49" s="952"/>
      <c r="PNG49" s="952"/>
      <c r="PNH49" s="952"/>
      <c r="PNI49" s="952"/>
      <c r="PNJ49" s="952"/>
      <c r="PNK49" s="952"/>
      <c r="PNL49" s="952"/>
      <c r="PNM49" s="952"/>
      <c r="PNN49" s="952"/>
      <c r="PNO49" s="952"/>
      <c r="PNP49" s="952"/>
      <c r="PNQ49" s="952"/>
      <c r="PNR49" s="952"/>
      <c r="PNS49" s="952"/>
      <c r="PNT49" s="952"/>
      <c r="PNU49" s="952"/>
      <c r="PNV49" s="952"/>
      <c r="PNW49" s="952"/>
      <c r="PNX49" s="952"/>
      <c r="PNY49" s="952"/>
      <c r="PNZ49" s="952"/>
      <c r="POA49" s="952"/>
      <c r="POB49" s="952"/>
      <c r="POC49" s="952"/>
      <c r="POD49" s="952"/>
      <c r="POE49" s="952"/>
      <c r="POF49" s="952"/>
      <c r="POG49" s="952"/>
      <c r="POH49" s="952"/>
      <c r="POI49" s="952"/>
      <c r="POJ49" s="952"/>
      <c r="POK49" s="952"/>
      <c r="POL49" s="952"/>
      <c r="POM49" s="952"/>
      <c r="PON49" s="952"/>
      <c r="POO49" s="952"/>
      <c r="POP49" s="952"/>
      <c r="POQ49" s="952"/>
      <c r="POR49" s="952"/>
      <c r="POS49" s="952"/>
      <c r="POT49" s="952"/>
      <c r="POU49" s="952"/>
      <c r="POV49" s="952"/>
      <c r="POW49" s="952"/>
      <c r="POX49" s="952"/>
      <c r="POY49" s="952"/>
      <c r="POZ49" s="952"/>
      <c r="PPA49" s="952"/>
      <c r="PPB49" s="952"/>
      <c r="PPC49" s="952"/>
      <c r="PPD49" s="952"/>
      <c r="PPE49" s="952"/>
      <c r="PPF49" s="952"/>
      <c r="PPG49" s="952"/>
      <c r="PPH49" s="952"/>
      <c r="PPI49" s="952"/>
      <c r="PPJ49" s="952"/>
      <c r="PPK49" s="952"/>
      <c r="PPL49" s="952"/>
      <c r="PPM49" s="952"/>
      <c r="PPN49" s="952"/>
      <c r="PPO49" s="952"/>
      <c r="PPP49" s="952"/>
      <c r="PPQ49" s="952"/>
      <c r="PPR49" s="952"/>
      <c r="PPS49" s="952"/>
      <c r="PPT49" s="952"/>
      <c r="PPU49" s="952"/>
      <c r="PPV49" s="952"/>
      <c r="PPW49" s="952"/>
      <c r="PPX49" s="952"/>
      <c r="PPY49" s="952"/>
      <c r="PPZ49" s="952"/>
      <c r="PQA49" s="952"/>
      <c r="PQB49" s="952"/>
      <c r="PQC49" s="952"/>
      <c r="PQD49" s="952"/>
      <c r="PQE49" s="952"/>
      <c r="PQF49" s="952"/>
      <c r="PQG49" s="952"/>
      <c r="PQH49" s="952"/>
      <c r="PQI49" s="952"/>
      <c r="PQJ49" s="952"/>
      <c r="PQK49" s="952"/>
      <c r="PQL49" s="952"/>
      <c r="PQM49" s="952"/>
      <c r="PQN49" s="952"/>
      <c r="PQO49" s="952"/>
      <c r="PQP49" s="952"/>
      <c r="PQQ49" s="952"/>
      <c r="PQR49" s="952"/>
      <c r="PQS49" s="952"/>
      <c r="PQT49" s="952"/>
      <c r="PQU49" s="952"/>
      <c r="PQV49" s="952"/>
      <c r="PQW49" s="952"/>
      <c r="PQX49" s="952"/>
      <c r="PQY49" s="952"/>
      <c r="PQZ49" s="952"/>
      <c r="PRA49" s="952"/>
      <c r="PRB49" s="952"/>
      <c r="PRC49" s="952"/>
      <c r="PRD49" s="952"/>
      <c r="PRE49" s="952"/>
      <c r="PRF49" s="952"/>
      <c r="PRG49" s="952"/>
      <c r="PRH49" s="952"/>
      <c r="PRI49" s="952"/>
      <c r="PRJ49" s="952"/>
      <c r="PRK49" s="952"/>
      <c r="PRL49" s="952"/>
      <c r="PRM49" s="952"/>
      <c r="PRN49" s="952"/>
      <c r="PRO49" s="952"/>
      <c r="PRP49" s="952"/>
      <c r="PRQ49" s="952"/>
      <c r="PRR49" s="952"/>
      <c r="PRS49" s="952"/>
      <c r="PRT49" s="952"/>
      <c r="PRU49" s="952"/>
      <c r="PRV49" s="952"/>
      <c r="PRW49" s="952"/>
      <c r="PRX49" s="952"/>
      <c r="PRY49" s="952"/>
      <c r="PRZ49" s="952"/>
      <c r="PSA49" s="952"/>
      <c r="PSB49" s="952"/>
      <c r="PSC49" s="952"/>
      <c r="PSD49" s="952"/>
      <c r="PSE49" s="952"/>
      <c r="PSF49" s="952"/>
      <c r="PSG49" s="952"/>
      <c r="PSH49" s="952"/>
      <c r="PSI49" s="952"/>
      <c r="PSJ49" s="952"/>
      <c r="PSK49" s="952"/>
      <c r="PSL49" s="952"/>
      <c r="PSM49" s="952"/>
      <c r="PSN49" s="952"/>
      <c r="PSO49" s="952"/>
      <c r="PSP49" s="952"/>
      <c r="PSQ49" s="952"/>
      <c r="PSR49" s="952"/>
      <c r="PSS49" s="952"/>
      <c r="PST49" s="952"/>
      <c r="PSU49" s="952"/>
      <c r="PSV49" s="952"/>
      <c r="PSW49" s="952"/>
      <c r="PSX49" s="952"/>
      <c r="PSY49" s="952"/>
      <c r="PSZ49" s="952"/>
      <c r="PTA49" s="952"/>
      <c r="PTB49" s="952"/>
      <c r="PTC49" s="952"/>
      <c r="PTD49" s="952"/>
      <c r="PTE49" s="952"/>
      <c r="PTF49" s="952"/>
      <c r="PTG49" s="952"/>
      <c r="PTH49" s="952"/>
      <c r="PTI49" s="952"/>
      <c r="PTJ49" s="952"/>
      <c r="PTK49" s="952"/>
      <c r="PTL49" s="952"/>
      <c r="PTM49" s="952"/>
      <c r="PTN49" s="952"/>
      <c r="PTO49" s="952"/>
      <c r="PTP49" s="952"/>
      <c r="PTQ49" s="952"/>
      <c r="PTR49" s="952"/>
      <c r="PTS49" s="952"/>
      <c r="PTT49" s="952"/>
      <c r="PTU49" s="952"/>
      <c r="PTV49" s="952"/>
      <c r="PTW49" s="952"/>
      <c r="PTX49" s="952"/>
      <c r="PTY49" s="952"/>
      <c r="PTZ49" s="952"/>
      <c r="PUA49" s="952"/>
      <c r="PUB49" s="952"/>
      <c r="PUC49" s="952"/>
      <c r="PUD49" s="952"/>
      <c r="PUE49" s="952"/>
      <c r="PUF49" s="952"/>
      <c r="PUG49" s="952"/>
      <c r="PUH49" s="952"/>
      <c r="PUI49" s="952"/>
      <c r="PUJ49" s="952"/>
      <c r="PUK49" s="952"/>
      <c r="PUL49" s="952"/>
      <c r="PUM49" s="952"/>
      <c r="PUN49" s="952"/>
      <c r="PUO49" s="952"/>
      <c r="PUP49" s="952"/>
      <c r="PUQ49" s="952"/>
      <c r="PUR49" s="952"/>
      <c r="PUS49" s="952"/>
      <c r="PUT49" s="952"/>
      <c r="PUU49" s="952"/>
      <c r="PUV49" s="952"/>
      <c r="PUW49" s="952"/>
      <c r="PUX49" s="952"/>
      <c r="PUY49" s="952"/>
      <c r="PUZ49" s="952"/>
      <c r="PVA49" s="952"/>
      <c r="PVB49" s="952"/>
      <c r="PVC49" s="952"/>
      <c r="PVD49" s="952"/>
      <c r="PVE49" s="952"/>
      <c r="PVF49" s="952"/>
      <c r="PVG49" s="952"/>
      <c r="PVH49" s="952"/>
      <c r="PVI49" s="952"/>
      <c r="PVJ49" s="952"/>
      <c r="PVK49" s="952"/>
      <c r="PVL49" s="952"/>
      <c r="PVM49" s="952"/>
      <c r="PVN49" s="952"/>
      <c r="PVO49" s="952"/>
      <c r="PVP49" s="952"/>
      <c r="PVQ49" s="952"/>
      <c r="PVR49" s="952"/>
      <c r="PVS49" s="952"/>
      <c r="PVT49" s="952"/>
      <c r="PVU49" s="952"/>
      <c r="PVV49" s="952"/>
      <c r="PVW49" s="952"/>
      <c r="PVX49" s="952"/>
      <c r="PVY49" s="952"/>
      <c r="PVZ49" s="952"/>
      <c r="PWA49" s="952"/>
      <c r="PWB49" s="952"/>
      <c r="PWC49" s="952"/>
      <c r="PWD49" s="952"/>
      <c r="PWE49" s="952"/>
      <c r="PWF49" s="952"/>
      <c r="PWG49" s="952"/>
      <c r="PWH49" s="952"/>
      <c r="PWI49" s="952"/>
      <c r="PWJ49" s="952"/>
      <c r="PWK49" s="952"/>
      <c r="PWL49" s="952"/>
      <c r="PWM49" s="952"/>
      <c r="PWN49" s="952"/>
      <c r="PWO49" s="952"/>
      <c r="PWP49" s="952"/>
      <c r="PWQ49" s="952"/>
      <c r="PWR49" s="952"/>
      <c r="PWS49" s="952"/>
      <c r="PWT49" s="952"/>
      <c r="PWU49" s="952"/>
      <c r="PWV49" s="952"/>
      <c r="PWW49" s="952"/>
      <c r="PWX49" s="952"/>
      <c r="PWY49" s="952"/>
      <c r="PWZ49" s="952"/>
      <c r="PXA49" s="952"/>
      <c r="PXB49" s="952"/>
      <c r="PXC49" s="952"/>
      <c r="PXD49" s="952"/>
      <c r="PXE49" s="952"/>
      <c r="PXF49" s="952"/>
      <c r="PXG49" s="952"/>
      <c r="PXH49" s="952"/>
      <c r="PXI49" s="952"/>
      <c r="PXJ49" s="952"/>
      <c r="PXK49" s="952"/>
      <c r="PXL49" s="952"/>
      <c r="PXM49" s="952"/>
      <c r="PXN49" s="952"/>
      <c r="PXO49" s="952"/>
      <c r="PXP49" s="952"/>
      <c r="PXQ49" s="952"/>
      <c r="PXR49" s="952"/>
      <c r="PXS49" s="952"/>
      <c r="PXT49" s="952"/>
      <c r="PXU49" s="952"/>
      <c r="PXV49" s="952"/>
      <c r="PXW49" s="952"/>
      <c r="PXX49" s="952"/>
      <c r="PXY49" s="952"/>
      <c r="PXZ49" s="952"/>
      <c r="PYA49" s="952"/>
      <c r="PYB49" s="952"/>
      <c r="PYC49" s="952"/>
      <c r="PYD49" s="952"/>
      <c r="PYE49" s="952"/>
      <c r="PYF49" s="952"/>
      <c r="PYG49" s="952"/>
      <c r="PYH49" s="952"/>
      <c r="PYI49" s="952"/>
      <c r="PYJ49" s="952"/>
      <c r="PYK49" s="952"/>
      <c r="PYL49" s="952"/>
      <c r="PYM49" s="952"/>
      <c r="PYN49" s="952"/>
      <c r="PYO49" s="952"/>
      <c r="PYP49" s="952"/>
      <c r="PYQ49" s="952"/>
      <c r="PYR49" s="952"/>
      <c r="PYS49" s="952"/>
      <c r="PYT49" s="952"/>
      <c r="PYU49" s="952"/>
      <c r="PYV49" s="952"/>
      <c r="PYW49" s="952"/>
      <c r="PYX49" s="952"/>
      <c r="PYY49" s="952"/>
      <c r="PYZ49" s="952"/>
      <c r="PZA49" s="952"/>
      <c r="PZB49" s="952"/>
      <c r="PZC49" s="952"/>
      <c r="PZD49" s="952"/>
      <c r="PZE49" s="952"/>
      <c r="PZF49" s="952"/>
      <c r="PZG49" s="952"/>
      <c r="PZH49" s="952"/>
      <c r="PZI49" s="952"/>
      <c r="PZJ49" s="952"/>
      <c r="PZK49" s="952"/>
      <c r="PZL49" s="952"/>
      <c r="PZM49" s="952"/>
      <c r="PZN49" s="952"/>
      <c r="PZO49" s="952"/>
      <c r="PZP49" s="952"/>
      <c r="PZQ49" s="952"/>
      <c r="PZR49" s="952"/>
      <c r="PZS49" s="952"/>
      <c r="PZT49" s="952"/>
      <c r="PZU49" s="952"/>
      <c r="PZV49" s="952"/>
      <c r="PZW49" s="952"/>
      <c r="PZX49" s="952"/>
      <c r="PZY49" s="952"/>
      <c r="PZZ49" s="952"/>
      <c r="QAA49" s="952"/>
      <c r="QAB49" s="952"/>
      <c r="QAC49" s="952"/>
      <c r="QAD49" s="952"/>
      <c r="QAE49" s="952"/>
      <c r="QAF49" s="952"/>
      <c r="QAG49" s="952"/>
      <c r="QAH49" s="952"/>
      <c r="QAI49" s="952"/>
      <c r="QAJ49" s="952"/>
      <c r="QAK49" s="952"/>
      <c r="QAL49" s="952"/>
      <c r="QAM49" s="952"/>
      <c r="QAN49" s="952"/>
      <c r="QAO49" s="952"/>
      <c r="QAP49" s="952"/>
      <c r="QAQ49" s="952"/>
      <c r="QAR49" s="952"/>
      <c r="QAS49" s="952"/>
      <c r="QAT49" s="952"/>
      <c r="QAU49" s="952"/>
      <c r="QAV49" s="952"/>
      <c r="QAW49" s="952"/>
      <c r="QAX49" s="952"/>
      <c r="QAY49" s="952"/>
      <c r="QAZ49" s="952"/>
      <c r="QBA49" s="952"/>
      <c r="QBB49" s="952"/>
      <c r="QBC49" s="952"/>
      <c r="QBD49" s="952"/>
      <c r="QBE49" s="952"/>
      <c r="QBF49" s="952"/>
      <c r="QBG49" s="952"/>
      <c r="QBH49" s="952"/>
      <c r="QBI49" s="952"/>
      <c r="QBJ49" s="952"/>
      <c r="QBK49" s="952"/>
      <c r="QBL49" s="952"/>
      <c r="QBM49" s="952"/>
      <c r="QBN49" s="952"/>
      <c r="QBO49" s="952"/>
      <c r="QBP49" s="952"/>
      <c r="QBQ49" s="952"/>
      <c r="QBR49" s="952"/>
      <c r="QBS49" s="952"/>
      <c r="QBT49" s="952"/>
      <c r="QBU49" s="952"/>
      <c r="QBV49" s="952"/>
      <c r="QBW49" s="952"/>
      <c r="QBX49" s="952"/>
      <c r="QBY49" s="952"/>
      <c r="QBZ49" s="952"/>
      <c r="QCA49" s="952"/>
      <c r="QCB49" s="952"/>
      <c r="QCC49" s="952"/>
      <c r="QCD49" s="952"/>
      <c r="QCE49" s="952"/>
      <c r="QCF49" s="952"/>
      <c r="QCG49" s="952"/>
      <c r="QCH49" s="952"/>
      <c r="QCI49" s="952"/>
      <c r="QCJ49" s="952"/>
      <c r="QCK49" s="952"/>
      <c r="QCL49" s="952"/>
      <c r="QCM49" s="952"/>
      <c r="QCN49" s="952"/>
      <c r="QCO49" s="952"/>
      <c r="QCP49" s="952"/>
      <c r="QCQ49" s="952"/>
      <c r="QCR49" s="952"/>
      <c r="QCS49" s="952"/>
      <c r="QCT49" s="952"/>
      <c r="QCU49" s="952"/>
      <c r="QCV49" s="952"/>
      <c r="QCW49" s="952"/>
      <c r="QCX49" s="952"/>
      <c r="QCY49" s="952"/>
      <c r="QCZ49" s="952"/>
      <c r="QDA49" s="952"/>
      <c r="QDB49" s="952"/>
      <c r="QDC49" s="952"/>
      <c r="QDD49" s="952"/>
      <c r="QDE49" s="952"/>
      <c r="QDF49" s="952"/>
      <c r="QDG49" s="952"/>
      <c r="QDH49" s="952"/>
      <c r="QDI49" s="952"/>
      <c r="QDJ49" s="952"/>
      <c r="QDK49" s="952"/>
      <c r="QDL49" s="952"/>
      <c r="QDM49" s="952"/>
      <c r="QDN49" s="952"/>
      <c r="QDO49" s="952"/>
      <c r="QDP49" s="952"/>
      <c r="QDQ49" s="952"/>
      <c r="QDR49" s="952"/>
      <c r="QDS49" s="952"/>
      <c r="QDT49" s="952"/>
      <c r="QDU49" s="952"/>
      <c r="QDV49" s="952"/>
      <c r="QDW49" s="952"/>
      <c r="QDX49" s="952"/>
      <c r="QDY49" s="952"/>
      <c r="QDZ49" s="952"/>
      <c r="QEA49" s="952"/>
      <c r="QEB49" s="952"/>
      <c r="QEC49" s="952"/>
      <c r="QED49" s="952"/>
      <c r="QEE49" s="952"/>
      <c r="QEF49" s="952"/>
      <c r="QEG49" s="952"/>
      <c r="QEH49" s="952"/>
      <c r="QEI49" s="952"/>
      <c r="QEJ49" s="952"/>
      <c r="QEK49" s="952"/>
      <c r="QEL49" s="952"/>
      <c r="QEM49" s="952"/>
      <c r="QEN49" s="952"/>
      <c r="QEO49" s="952"/>
      <c r="QEP49" s="952"/>
      <c r="QEQ49" s="952"/>
      <c r="QER49" s="952"/>
      <c r="QES49" s="952"/>
      <c r="QET49" s="952"/>
      <c r="QEU49" s="952"/>
      <c r="QEV49" s="952"/>
      <c r="QEW49" s="952"/>
      <c r="QEX49" s="952"/>
      <c r="QEY49" s="952"/>
      <c r="QEZ49" s="952"/>
      <c r="QFA49" s="952"/>
      <c r="QFB49" s="952"/>
      <c r="QFC49" s="952"/>
      <c r="QFD49" s="952"/>
      <c r="QFE49" s="952"/>
      <c r="QFF49" s="952"/>
      <c r="QFG49" s="952"/>
      <c r="QFH49" s="952"/>
      <c r="QFI49" s="952"/>
      <c r="QFJ49" s="952"/>
      <c r="QFK49" s="952"/>
      <c r="QFL49" s="952"/>
      <c r="QFM49" s="952"/>
      <c r="QFN49" s="952"/>
      <c r="QFO49" s="952"/>
      <c r="QFP49" s="952"/>
      <c r="QFQ49" s="952"/>
      <c r="QFR49" s="952"/>
      <c r="QFS49" s="952"/>
      <c r="QFT49" s="952"/>
      <c r="QFU49" s="952"/>
      <c r="QFV49" s="952"/>
      <c r="QFW49" s="952"/>
      <c r="QFX49" s="952"/>
      <c r="QFY49" s="952"/>
      <c r="QFZ49" s="952"/>
      <c r="QGA49" s="952"/>
      <c r="QGB49" s="952"/>
      <c r="QGC49" s="952"/>
      <c r="QGD49" s="952"/>
      <c r="QGE49" s="952"/>
      <c r="QGF49" s="952"/>
      <c r="QGG49" s="952"/>
      <c r="QGH49" s="952"/>
      <c r="QGI49" s="952"/>
      <c r="QGJ49" s="952"/>
      <c r="QGK49" s="952"/>
      <c r="QGL49" s="952"/>
      <c r="QGM49" s="952"/>
      <c r="QGN49" s="952"/>
      <c r="QGO49" s="952"/>
      <c r="QGP49" s="952"/>
      <c r="QGQ49" s="952"/>
      <c r="QGR49" s="952"/>
      <c r="QGS49" s="952"/>
      <c r="QGT49" s="952"/>
      <c r="QGU49" s="952"/>
      <c r="QGV49" s="952"/>
      <c r="QGW49" s="952"/>
      <c r="QGX49" s="952"/>
      <c r="QGY49" s="952"/>
      <c r="QGZ49" s="952"/>
      <c r="QHA49" s="952"/>
      <c r="QHB49" s="952"/>
      <c r="QHC49" s="952"/>
      <c r="QHD49" s="952"/>
      <c r="QHE49" s="952"/>
      <c r="QHF49" s="952"/>
      <c r="QHG49" s="952"/>
      <c r="QHH49" s="952"/>
      <c r="QHI49" s="952"/>
      <c r="QHJ49" s="952"/>
      <c r="QHK49" s="952"/>
      <c r="QHL49" s="952"/>
      <c r="QHM49" s="952"/>
      <c r="QHN49" s="952"/>
      <c r="QHO49" s="952"/>
      <c r="QHP49" s="952"/>
      <c r="QHQ49" s="952"/>
      <c r="QHR49" s="952"/>
      <c r="QHS49" s="952"/>
      <c r="QHT49" s="952"/>
      <c r="QHU49" s="952"/>
      <c r="QHV49" s="952"/>
      <c r="QHW49" s="952"/>
      <c r="QHX49" s="952"/>
      <c r="QHY49" s="952"/>
      <c r="QHZ49" s="952"/>
      <c r="QIA49" s="952"/>
      <c r="QIB49" s="952"/>
      <c r="QIC49" s="952"/>
      <c r="QID49" s="952"/>
      <c r="QIE49" s="952"/>
      <c r="QIF49" s="952"/>
      <c r="QIG49" s="952"/>
      <c r="QIH49" s="952"/>
      <c r="QII49" s="952"/>
      <c r="QIJ49" s="952"/>
      <c r="QIK49" s="952"/>
      <c r="QIL49" s="952"/>
      <c r="QIM49" s="952"/>
      <c r="QIN49" s="952"/>
      <c r="QIO49" s="952"/>
      <c r="QIP49" s="952"/>
      <c r="QIQ49" s="952"/>
      <c r="QIR49" s="952"/>
      <c r="QIS49" s="952"/>
      <c r="QIT49" s="952"/>
      <c r="QIU49" s="952"/>
      <c r="QIV49" s="952"/>
      <c r="QIW49" s="952"/>
      <c r="QIX49" s="952"/>
      <c r="QIY49" s="952"/>
      <c r="QIZ49" s="952"/>
      <c r="QJA49" s="952"/>
      <c r="QJB49" s="952"/>
      <c r="QJC49" s="952"/>
      <c r="QJD49" s="952"/>
      <c r="QJE49" s="952"/>
      <c r="QJF49" s="952"/>
      <c r="QJG49" s="952"/>
      <c r="QJH49" s="952"/>
      <c r="QJI49" s="952"/>
      <c r="QJJ49" s="952"/>
      <c r="QJK49" s="952"/>
      <c r="QJL49" s="952"/>
      <c r="QJM49" s="952"/>
      <c r="QJN49" s="952"/>
      <c r="QJO49" s="952"/>
      <c r="QJP49" s="952"/>
      <c r="QJQ49" s="952"/>
      <c r="QJR49" s="952"/>
      <c r="QJS49" s="952"/>
      <c r="QJT49" s="952"/>
      <c r="QJU49" s="952"/>
      <c r="QJV49" s="952"/>
      <c r="QJW49" s="952"/>
      <c r="QJX49" s="952"/>
      <c r="QJY49" s="952"/>
      <c r="QJZ49" s="952"/>
      <c r="QKA49" s="952"/>
      <c r="QKB49" s="952"/>
      <c r="QKC49" s="952"/>
      <c r="QKD49" s="952"/>
      <c r="QKE49" s="952"/>
      <c r="QKF49" s="952"/>
      <c r="QKG49" s="952"/>
      <c r="QKH49" s="952"/>
      <c r="QKI49" s="952"/>
      <c r="QKJ49" s="952"/>
      <c r="QKK49" s="952"/>
      <c r="QKL49" s="952"/>
      <c r="QKM49" s="952"/>
      <c r="QKN49" s="952"/>
      <c r="QKO49" s="952"/>
      <c r="QKP49" s="952"/>
      <c r="QKQ49" s="952"/>
      <c r="QKR49" s="952"/>
      <c r="QKS49" s="952"/>
      <c r="QKT49" s="952"/>
      <c r="QKU49" s="952"/>
      <c r="QKV49" s="952"/>
      <c r="QKW49" s="952"/>
      <c r="QKX49" s="952"/>
      <c r="QKY49" s="952"/>
      <c r="QKZ49" s="952"/>
      <c r="QLA49" s="952"/>
      <c r="QLB49" s="952"/>
      <c r="QLC49" s="952"/>
      <c r="QLD49" s="952"/>
      <c r="QLE49" s="952"/>
      <c r="QLF49" s="952"/>
      <c r="QLG49" s="952"/>
      <c r="QLH49" s="952"/>
      <c r="QLI49" s="952"/>
      <c r="QLJ49" s="952"/>
      <c r="QLK49" s="952"/>
      <c r="QLL49" s="952"/>
      <c r="QLM49" s="952"/>
      <c r="QLN49" s="952"/>
      <c r="QLO49" s="952"/>
      <c r="QLP49" s="952"/>
      <c r="QLQ49" s="952"/>
      <c r="QLR49" s="952"/>
      <c r="QLS49" s="952"/>
      <c r="QLT49" s="952"/>
      <c r="QLU49" s="952"/>
      <c r="QLV49" s="952"/>
      <c r="QLW49" s="952"/>
      <c r="QLX49" s="952"/>
      <c r="QLY49" s="952"/>
      <c r="QLZ49" s="952"/>
      <c r="QMA49" s="952"/>
      <c r="QMB49" s="952"/>
      <c r="QMC49" s="952"/>
      <c r="QMD49" s="952"/>
      <c r="QME49" s="952"/>
      <c r="QMF49" s="952"/>
      <c r="QMG49" s="952"/>
      <c r="QMH49" s="952"/>
      <c r="QMI49" s="952"/>
      <c r="QMJ49" s="952"/>
      <c r="QMK49" s="952"/>
      <c r="QML49" s="952"/>
      <c r="QMM49" s="952"/>
      <c r="QMN49" s="952"/>
      <c r="QMO49" s="952"/>
      <c r="QMP49" s="952"/>
      <c r="QMQ49" s="952"/>
      <c r="QMR49" s="952"/>
      <c r="QMS49" s="952"/>
      <c r="QMT49" s="952"/>
      <c r="QMU49" s="952"/>
      <c r="QMV49" s="952"/>
      <c r="QMW49" s="952"/>
      <c r="QMX49" s="952"/>
      <c r="QMY49" s="952"/>
      <c r="QMZ49" s="952"/>
      <c r="QNA49" s="952"/>
      <c r="QNB49" s="952"/>
      <c r="QNC49" s="952"/>
      <c r="QND49" s="952"/>
      <c r="QNE49" s="952"/>
      <c r="QNF49" s="952"/>
      <c r="QNG49" s="952"/>
      <c r="QNH49" s="952"/>
      <c r="QNI49" s="952"/>
      <c r="QNJ49" s="952"/>
      <c r="QNK49" s="952"/>
      <c r="QNL49" s="952"/>
      <c r="QNM49" s="952"/>
      <c r="QNN49" s="952"/>
      <c r="QNO49" s="952"/>
      <c r="QNP49" s="952"/>
      <c r="QNQ49" s="952"/>
      <c r="QNR49" s="952"/>
      <c r="QNS49" s="952"/>
      <c r="QNT49" s="952"/>
      <c r="QNU49" s="952"/>
      <c r="QNV49" s="952"/>
      <c r="QNW49" s="952"/>
      <c r="QNX49" s="952"/>
      <c r="QNY49" s="952"/>
      <c r="QNZ49" s="952"/>
      <c r="QOA49" s="952"/>
      <c r="QOB49" s="952"/>
      <c r="QOC49" s="952"/>
      <c r="QOD49" s="952"/>
      <c r="QOE49" s="952"/>
      <c r="QOF49" s="952"/>
      <c r="QOG49" s="952"/>
      <c r="QOH49" s="952"/>
      <c r="QOI49" s="952"/>
      <c r="QOJ49" s="952"/>
      <c r="QOK49" s="952"/>
      <c r="QOL49" s="952"/>
      <c r="QOM49" s="952"/>
      <c r="QON49" s="952"/>
      <c r="QOO49" s="952"/>
      <c r="QOP49" s="952"/>
      <c r="QOQ49" s="952"/>
      <c r="QOR49" s="952"/>
      <c r="QOS49" s="952"/>
      <c r="QOT49" s="952"/>
      <c r="QOU49" s="952"/>
      <c r="QOV49" s="952"/>
      <c r="QOW49" s="952"/>
      <c r="QOX49" s="952"/>
      <c r="QOY49" s="952"/>
      <c r="QOZ49" s="952"/>
      <c r="QPA49" s="952"/>
      <c r="QPB49" s="952"/>
      <c r="QPC49" s="952"/>
      <c r="QPD49" s="952"/>
      <c r="QPE49" s="952"/>
      <c r="QPF49" s="952"/>
      <c r="QPG49" s="952"/>
      <c r="QPH49" s="952"/>
      <c r="QPI49" s="952"/>
      <c r="QPJ49" s="952"/>
      <c r="QPK49" s="952"/>
      <c r="QPL49" s="952"/>
      <c r="QPM49" s="952"/>
      <c r="QPN49" s="952"/>
      <c r="QPO49" s="952"/>
      <c r="QPP49" s="952"/>
      <c r="QPQ49" s="952"/>
      <c r="QPR49" s="952"/>
      <c r="QPS49" s="952"/>
      <c r="QPT49" s="952"/>
      <c r="QPU49" s="952"/>
      <c r="QPV49" s="952"/>
      <c r="QPW49" s="952"/>
      <c r="QPX49" s="952"/>
      <c r="QPY49" s="952"/>
      <c r="QPZ49" s="952"/>
      <c r="QQA49" s="952"/>
      <c r="QQB49" s="952"/>
      <c r="QQC49" s="952"/>
      <c r="QQD49" s="952"/>
      <c r="QQE49" s="952"/>
      <c r="QQF49" s="952"/>
      <c r="QQG49" s="952"/>
      <c r="QQH49" s="952"/>
      <c r="QQI49" s="952"/>
      <c r="QQJ49" s="952"/>
      <c r="QQK49" s="952"/>
      <c r="QQL49" s="952"/>
      <c r="QQM49" s="952"/>
      <c r="QQN49" s="952"/>
      <c r="QQO49" s="952"/>
      <c r="QQP49" s="952"/>
      <c r="QQQ49" s="952"/>
      <c r="QQR49" s="952"/>
      <c r="QQS49" s="952"/>
      <c r="QQT49" s="952"/>
      <c r="QQU49" s="952"/>
      <c r="QQV49" s="952"/>
      <c r="QQW49" s="952"/>
      <c r="QQX49" s="952"/>
      <c r="QQY49" s="952"/>
      <c r="QQZ49" s="952"/>
      <c r="QRA49" s="952"/>
      <c r="QRB49" s="952"/>
      <c r="QRC49" s="952"/>
      <c r="QRD49" s="952"/>
      <c r="QRE49" s="952"/>
      <c r="QRF49" s="952"/>
      <c r="QRG49" s="952"/>
      <c r="QRH49" s="952"/>
      <c r="QRI49" s="952"/>
      <c r="QRJ49" s="952"/>
      <c r="QRK49" s="952"/>
      <c r="QRL49" s="952"/>
      <c r="QRM49" s="952"/>
      <c r="QRN49" s="952"/>
      <c r="QRO49" s="952"/>
      <c r="QRP49" s="952"/>
      <c r="QRQ49" s="952"/>
      <c r="QRR49" s="952"/>
      <c r="QRS49" s="952"/>
      <c r="QRT49" s="952"/>
      <c r="QRU49" s="952"/>
      <c r="QRV49" s="952"/>
      <c r="QRW49" s="952"/>
      <c r="QRX49" s="952"/>
      <c r="QRY49" s="952"/>
      <c r="QRZ49" s="952"/>
      <c r="QSA49" s="952"/>
      <c r="QSB49" s="952"/>
      <c r="QSC49" s="952"/>
      <c r="QSD49" s="952"/>
      <c r="QSE49" s="952"/>
      <c r="QSF49" s="952"/>
      <c r="QSG49" s="952"/>
      <c r="QSH49" s="952"/>
      <c r="QSI49" s="952"/>
      <c r="QSJ49" s="952"/>
      <c r="QSK49" s="952"/>
      <c r="QSL49" s="952"/>
      <c r="QSM49" s="952"/>
      <c r="QSN49" s="952"/>
      <c r="QSO49" s="952"/>
      <c r="QSP49" s="952"/>
      <c r="QSQ49" s="952"/>
      <c r="QSR49" s="952"/>
      <c r="QSS49" s="952"/>
      <c r="QST49" s="952"/>
      <c r="QSU49" s="952"/>
      <c r="QSV49" s="952"/>
      <c r="QSW49" s="952"/>
      <c r="QSX49" s="952"/>
      <c r="QSY49" s="952"/>
      <c r="QSZ49" s="952"/>
      <c r="QTA49" s="952"/>
      <c r="QTB49" s="952"/>
      <c r="QTC49" s="952"/>
      <c r="QTD49" s="952"/>
      <c r="QTE49" s="952"/>
      <c r="QTF49" s="952"/>
      <c r="QTG49" s="952"/>
      <c r="QTH49" s="952"/>
      <c r="QTI49" s="952"/>
      <c r="QTJ49" s="952"/>
      <c r="QTK49" s="952"/>
      <c r="QTL49" s="952"/>
      <c r="QTM49" s="952"/>
      <c r="QTN49" s="952"/>
      <c r="QTO49" s="952"/>
      <c r="QTP49" s="952"/>
      <c r="QTQ49" s="952"/>
      <c r="QTR49" s="952"/>
      <c r="QTS49" s="952"/>
      <c r="QTT49" s="952"/>
      <c r="QTU49" s="952"/>
      <c r="QTV49" s="952"/>
      <c r="QTW49" s="952"/>
      <c r="QTX49" s="952"/>
      <c r="QTY49" s="952"/>
      <c r="QTZ49" s="952"/>
      <c r="QUA49" s="952"/>
      <c r="QUB49" s="952"/>
      <c r="QUC49" s="952"/>
      <c r="QUD49" s="952"/>
      <c r="QUE49" s="952"/>
      <c r="QUF49" s="952"/>
      <c r="QUG49" s="952"/>
      <c r="QUH49" s="952"/>
      <c r="QUI49" s="952"/>
      <c r="QUJ49" s="952"/>
      <c r="QUK49" s="952"/>
      <c r="QUL49" s="952"/>
      <c r="QUM49" s="952"/>
      <c r="QUN49" s="952"/>
      <c r="QUO49" s="952"/>
      <c r="QUP49" s="952"/>
      <c r="QUQ49" s="952"/>
      <c r="QUR49" s="952"/>
      <c r="QUS49" s="952"/>
      <c r="QUT49" s="952"/>
      <c r="QUU49" s="952"/>
      <c r="QUV49" s="952"/>
      <c r="QUW49" s="952"/>
      <c r="QUX49" s="952"/>
      <c r="QUY49" s="952"/>
      <c r="QUZ49" s="952"/>
      <c r="QVA49" s="952"/>
      <c r="QVB49" s="952"/>
      <c r="QVC49" s="952"/>
      <c r="QVD49" s="952"/>
      <c r="QVE49" s="952"/>
      <c r="QVF49" s="952"/>
      <c r="QVG49" s="952"/>
      <c r="QVH49" s="952"/>
      <c r="QVI49" s="952"/>
      <c r="QVJ49" s="952"/>
      <c r="QVK49" s="952"/>
      <c r="QVL49" s="952"/>
      <c r="QVM49" s="952"/>
      <c r="QVN49" s="952"/>
      <c r="QVO49" s="952"/>
      <c r="QVP49" s="952"/>
      <c r="QVQ49" s="952"/>
      <c r="QVR49" s="952"/>
      <c r="QVS49" s="952"/>
      <c r="QVT49" s="952"/>
      <c r="QVU49" s="952"/>
      <c r="QVV49" s="952"/>
      <c r="QVW49" s="952"/>
      <c r="QVX49" s="952"/>
      <c r="QVY49" s="952"/>
      <c r="QVZ49" s="952"/>
      <c r="QWA49" s="952"/>
      <c r="QWB49" s="952"/>
      <c r="QWC49" s="952"/>
      <c r="QWD49" s="952"/>
      <c r="QWE49" s="952"/>
      <c r="QWF49" s="952"/>
      <c r="QWG49" s="952"/>
      <c r="QWH49" s="952"/>
      <c r="QWI49" s="952"/>
      <c r="QWJ49" s="952"/>
      <c r="QWK49" s="952"/>
      <c r="QWL49" s="952"/>
      <c r="QWM49" s="952"/>
      <c r="QWN49" s="952"/>
      <c r="QWO49" s="952"/>
      <c r="QWP49" s="952"/>
      <c r="QWQ49" s="952"/>
      <c r="QWR49" s="952"/>
      <c r="QWS49" s="952"/>
      <c r="QWT49" s="952"/>
      <c r="QWU49" s="952"/>
      <c r="QWV49" s="952"/>
      <c r="QWW49" s="952"/>
      <c r="QWX49" s="952"/>
      <c r="QWY49" s="952"/>
      <c r="QWZ49" s="952"/>
      <c r="QXA49" s="952"/>
      <c r="QXB49" s="952"/>
      <c r="QXC49" s="952"/>
      <c r="QXD49" s="952"/>
      <c r="QXE49" s="952"/>
      <c r="QXF49" s="952"/>
      <c r="QXG49" s="952"/>
      <c r="QXH49" s="952"/>
      <c r="QXI49" s="952"/>
      <c r="QXJ49" s="952"/>
      <c r="QXK49" s="952"/>
      <c r="QXL49" s="952"/>
      <c r="QXM49" s="952"/>
      <c r="QXN49" s="952"/>
      <c r="QXO49" s="952"/>
      <c r="QXP49" s="952"/>
      <c r="QXQ49" s="952"/>
      <c r="QXR49" s="952"/>
      <c r="QXS49" s="952"/>
      <c r="QXT49" s="952"/>
      <c r="QXU49" s="952"/>
      <c r="QXV49" s="952"/>
      <c r="QXW49" s="952"/>
      <c r="QXX49" s="952"/>
      <c r="QXY49" s="952"/>
      <c r="QXZ49" s="952"/>
      <c r="QYA49" s="952"/>
      <c r="QYB49" s="952"/>
      <c r="QYC49" s="952"/>
      <c r="QYD49" s="952"/>
      <c r="QYE49" s="952"/>
      <c r="QYF49" s="952"/>
      <c r="QYG49" s="952"/>
      <c r="QYH49" s="952"/>
      <c r="QYI49" s="952"/>
      <c r="QYJ49" s="952"/>
      <c r="QYK49" s="952"/>
      <c r="QYL49" s="952"/>
      <c r="QYM49" s="952"/>
      <c r="QYN49" s="952"/>
      <c r="QYO49" s="952"/>
      <c r="QYP49" s="952"/>
      <c r="QYQ49" s="952"/>
      <c r="QYR49" s="952"/>
      <c r="QYS49" s="952"/>
      <c r="QYT49" s="952"/>
      <c r="QYU49" s="952"/>
      <c r="QYV49" s="952"/>
      <c r="QYW49" s="952"/>
      <c r="QYX49" s="952"/>
      <c r="QYY49" s="952"/>
      <c r="QYZ49" s="952"/>
      <c r="QZA49" s="952"/>
      <c r="QZB49" s="952"/>
      <c r="QZC49" s="952"/>
      <c r="QZD49" s="952"/>
      <c r="QZE49" s="952"/>
      <c r="QZF49" s="952"/>
      <c r="QZG49" s="952"/>
      <c r="QZH49" s="952"/>
      <c r="QZI49" s="952"/>
      <c r="QZJ49" s="952"/>
      <c r="QZK49" s="952"/>
      <c r="QZL49" s="952"/>
      <c r="QZM49" s="952"/>
      <c r="QZN49" s="952"/>
      <c r="QZO49" s="952"/>
      <c r="QZP49" s="952"/>
      <c r="QZQ49" s="952"/>
      <c r="QZR49" s="952"/>
      <c r="QZS49" s="952"/>
      <c r="QZT49" s="952"/>
      <c r="QZU49" s="952"/>
      <c r="QZV49" s="952"/>
      <c r="QZW49" s="952"/>
      <c r="QZX49" s="952"/>
      <c r="QZY49" s="952"/>
      <c r="QZZ49" s="952"/>
      <c r="RAA49" s="952"/>
      <c r="RAB49" s="952"/>
      <c r="RAC49" s="952"/>
      <c r="RAD49" s="952"/>
      <c r="RAE49" s="952"/>
      <c r="RAF49" s="952"/>
      <c r="RAG49" s="952"/>
      <c r="RAH49" s="952"/>
      <c r="RAI49" s="952"/>
      <c r="RAJ49" s="952"/>
      <c r="RAK49" s="952"/>
      <c r="RAL49" s="952"/>
      <c r="RAM49" s="952"/>
      <c r="RAN49" s="952"/>
      <c r="RAO49" s="952"/>
      <c r="RAP49" s="952"/>
      <c r="RAQ49" s="952"/>
      <c r="RAR49" s="952"/>
      <c r="RAS49" s="952"/>
      <c r="RAT49" s="952"/>
      <c r="RAU49" s="952"/>
      <c r="RAV49" s="952"/>
      <c r="RAW49" s="952"/>
      <c r="RAX49" s="952"/>
      <c r="RAY49" s="952"/>
      <c r="RAZ49" s="952"/>
      <c r="RBA49" s="952"/>
      <c r="RBB49" s="952"/>
      <c r="RBC49" s="952"/>
      <c r="RBD49" s="952"/>
      <c r="RBE49" s="952"/>
      <c r="RBF49" s="952"/>
      <c r="RBG49" s="952"/>
      <c r="RBH49" s="952"/>
      <c r="RBI49" s="952"/>
      <c r="RBJ49" s="952"/>
      <c r="RBK49" s="952"/>
      <c r="RBL49" s="952"/>
      <c r="RBM49" s="952"/>
      <c r="RBN49" s="952"/>
      <c r="RBO49" s="952"/>
      <c r="RBP49" s="952"/>
      <c r="RBQ49" s="952"/>
      <c r="RBR49" s="952"/>
      <c r="RBS49" s="952"/>
      <c r="RBT49" s="952"/>
      <c r="RBU49" s="952"/>
      <c r="RBV49" s="952"/>
      <c r="RBW49" s="952"/>
      <c r="RBX49" s="952"/>
      <c r="RBY49" s="952"/>
      <c r="RBZ49" s="952"/>
      <c r="RCA49" s="952"/>
      <c r="RCB49" s="952"/>
      <c r="RCC49" s="952"/>
      <c r="RCD49" s="952"/>
      <c r="RCE49" s="952"/>
      <c r="RCF49" s="952"/>
      <c r="RCG49" s="952"/>
      <c r="RCH49" s="952"/>
      <c r="RCI49" s="952"/>
      <c r="RCJ49" s="952"/>
      <c r="RCK49" s="952"/>
      <c r="RCL49" s="952"/>
      <c r="RCM49" s="952"/>
      <c r="RCN49" s="952"/>
      <c r="RCO49" s="952"/>
      <c r="RCP49" s="952"/>
      <c r="RCQ49" s="952"/>
      <c r="RCR49" s="952"/>
      <c r="RCS49" s="952"/>
      <c r="RCT49" s="952"/>
      <c r="RCU49" s="952"/>
      <c r="RCV49" s="952"/>
      <c r="RCW49" s="952"/>
      <c r="RCX49" s="952"/>
      <c r="RCY49" s="952"/>
      <c r="RCZ49" s="952"/>
      <c r="RDA49" s="952"/>
      <c r="RDB49" s="952"/>
      <c r="RDC49" s="952"/>
      <c r="RDD49" s="952"/>
      <c r="RDE49" s="952"/>
      <c r="RDF49" s="952"/>
      <c r="RDG49" s="952"/>
      <c r="RDH49" s="952"/>
      <c r="RDI49" s="952"/>
      <c r="RDJ49" s="952"/>
      <c r="RDK49" s="952"/>
      <c r="RDL49" s="952"/>
      <c r="RDM49" s="952"/>
      <c r="RDN49" s="952"/>
      <c r="RDO49" s="952"/>
      <c r="RDP49" s="952"/>
      <c r="RDQ49" s="952"/>
      <c r="RDR49" s="952"/>
      <c r="RDS49" s="952"/>
      <c r="RDT49" s="952"/>
      <c r="RDU49" s="952"/>
      <c r="RDV49" s="952"/>
      <c r="RDW49" s="952"/>
      <c r="RDX49" s="952"/>
      <c r="RDY49" s="952"/>
      <c r="RDZ49" s="952"/>
      <c r="REA49" s="952"/>
      <c r="REB49" s="952"/>
      <c r="REC49" s="952"/>
      <c r="RED49" s="952"/>
      <c r="REE49" s="952"/>
      <c r="REF49" s="952"/>
      <c r="REG49" s="952"/>
      <c r="REH49" s="952"/>
      <c r="REI49" s="952"/>
      <c r="REJ49" s="952"/>
      <c r="REK49" s="952"/>
      <c r="REL49" s="952"/>
      <c r="REM49" s="952"/>
      <c r="REN49" s="952"/>
      <c r="REO49" s="952"/>
      <c r="REP49" s="952"/>
      <c r="REQ49" s="952"/>
      <c r="RER49" s="952"/>
      <c r="RES49" s="952"/>
      <c r="RET49" s="952"/>
      <c r="REU49" s="952"/>
      <c r="REV49" s="952"/>
      <c r="REW49" s="952"/>
      <c r="REX49" s="952"/>
      <c r="REY49" s="952"/>
      <c r="REZ49" s="952"/>
      <c r="RFA49" s="952"/>
      <c r="RFB49" s="952"/>
      <c r="RFC49" s="952"/>
      <c r="RFD49" s="952"/>
      <c r="RFE49" s="952"/>
      <c r="RFF49" s="952"/>
      <c r="RFG49" s="952"/>
      <c r="RFH49" s="952"/>
      <c r="RFI49" s="952"/>
      <c r="RFJ49" s="952"/>
      <c r="RFK49" s="952"/>
      <c r="RFL49" s="952"/>
      <c r="RFM49" s="952"/>
      <c r="RFN49" s="952"/>
      <c r="RFO49" s="952"/>
      <c r="RFP49" s="952"/>
      <c r="RFQ49" s="952"/>
      <c r="RFR49" s="952"/>
      <c r="RFS49" s="952"/>
      <c r="RFT49" s="952"/>
      <c r="RFU49" s="952"/>
      <c r="RFV49" s="952"/>
      <c r="RFW49" s="952"/>
      <c r="RFX49" s="952"/>
      <c r="RFY49" s="952"/>
      <c r="RFZ49" s="952"/>
      <c r="RGA49" s="952"/>
      <c r="RGB49" s="952"/>
      <c r="RGC49" s="952"/>
      <c r="RGD49" s="952"/>
      <c r="RGE49" s="952"/>
      <c r="RGF49" s="952"/>
      <c r="RGG49" s="952"/>
      <c r="RGH49" s="952"/>
      <c r="RGI49" s="952"/>
      <c r="RGJ49" s="952"/>
      <c r="RGK49" s="952"/>
      <c r="RGL49" s="952"/>
      <c r="RGM49" s="952"/>
      <c r="RGN49" s="952"/>
      <c r="RGO49" s="952"/>
      <c r="RGP49" s="952"/>
      <c r="RGQ49" s="952"/>
      <c r="RGR49" s="952"/>
      <c r="RGS49" s="952"/>
      <c r="RGT49" s="952"/>
      <c r="RGU49" s="952"/>
      <c r="RGV49" s="952"/>
      <c r="RGW49" s="952"/>
      <c r="RGX49" s="952"/>
      <c r="RGY49" s="952"/>
      <c r="RGZ49" s="952"/>
      <c r="RHA49" s="952"/>
      <c r="RHB49" s="952"/>
      <c r="RHC49" s="952"/>
      <c r="RHD49" s="952"/>
      <c r="RHE49" s="952"/>
      <c r="RHF49" s="952"/>
      <c r="RHG49" s="952"/>
      <c r="RHH49" s="952"/>
      <c r="RHI49" s="952"/>
      <c r="RHJ49" s="952"/>
      <c r="RHK49" s="952"/>
      <c r="RHL49" s="952"/>
      <c r="RHM49" s="952"/>
      <c r="RHN49" s="952"/>
      <c r="RHO49" s="952"/>
      <c r="RHP49" s="952"/>
      <c r="RHQ49" s="952"/>
      <c r="RHR49" s="952"/>
      <c r="RHS49" s="952"/>
      <c r="RHT49" s="952"/>
      <c r="RHU49" s="952"/>
      <c r="RHV49" s="952"/>
      <c r="RHW49" s="952"/>
      <c r="RHX49" s="952"/>
      <c r="RHY49" s="952"/>
      <c r="RHZ49" s="952"/>
      <c r="RIA49" s="952"/>
      <c r="RIB49" s="952"/>
      <c r="RIC49" s="952"/>
      <c r="RID49" s="952"/>
      <c r="RIE49" s="952"/>
      <c r="RIF49" s="952"/>
      <c r="RIG49" s="952"/>
      <c r="RIH49" s="952"/>
      <c r="RII49" s="952"/>
      <c r="RIJ49" s="952"/>
      <c r="RIK49" s="952"/>
      <c r="RIL49" s="952"/>
      <c r="RIM49" s="952"/>
      <c r="RIN49" s="952"/>
      <c r="RIO49" s="952"/>
      <c r="RIP49" s="952"/>
      <c r="RIQ49" s="952"/>
      <c r="RIR49" s="952"/>
      <c r="RIS49" s="952"/>
      <c r="RIT49" s="952"/>
      <c r="RIU49" s="952"/>
      <c r="RIV49" s="952"/>
      <c r="RIW49" s="952"/>
      <c r="RIX49" s="952"/>
      <c r="RIY49" s="952"/>
      <c r="RIZ49" s="952"/>
      <c r="RJA49" s="952"/>
      <c r="RJB49" s="952"/>
      <c r="RJC49" s="952"/>
      <c r="RJD49" s="952"/>
      <c r="RJE49" s="952"/>
      <c r="RJF49" s="952"/>
      <c r="RJG49" s="952"/>
      <c r="RJH49" s="952"/>
      <c r="RJI49" s="952"/>
      <c r="RJJ49" s="952"/>
      <c r="RJK49" s="952"/>
      <c r="RJL49" s="952"/>
      <c r="RJM49" s="952"/>
      <c r="RJN49" s="952"/>
      <c r="RJO49" s="952"/>
      <c r="RJP49" s="952"/>
      <c r="RJQ49" s="952"/>
      <c r="RJR49" s="952"/>
      <c r="RJS49" s="952"/>
      <c r="RJT49" s="952"/>
      <c r="RJU49" s="952"/>
      <c r="RJV49" s="952"/>
      <c r="RJW49" s="952"/>
      <c r="RJX49" s="952"/>
      <c r="RJY49" s="952"/>
      <c r="RJZ49" s="952"/>
      <c r="RKA49" s="952"/>
      <c r="RKB49" s="952"/>
      <c r="RKC49" s="952"/>
      <c r="RKD49" s="952"/>
      <c r="RKE49" s="952"/>
      <c r="RKF49" s="952"/>
      <c r="RKG49" s="952"/>
      <c r="RKH49" s="952"/>
      <c r="RKI49" s="952"/>
      <c r="RKJ49" s="952"/>
      <c r="RKK49" s="952"/>
      <c r="RKL49" s="952"/>
      <c r="RKM49" s="952"/>
      <c r="RKN49" s="952"/>
      <c r="RKO49" s="952"/>
      <c r="RKP49" s="952"/>
      <c r="RKQ49" s="952"/>
      <c r="RKR49" s="952"/>
      <c r="RKS49" s="952"/>
      <c r="RKT49" s="952"/>
      <c r="RKU49" s="952"/>
      <c r="RKV49" s="952"/>
      <c r="RKW49" s="952"/>
      <c r="RKX49" s="952"/>
      <c r="RKY49" s="952"/>
      <c r="RKZ49" s="952"/>
      <c r="RLA49" s="952"/>
      <c r="RLB49" s="952"/>
      <c r="RLC49" s="952"/>
      <c r="RLD49" s="952"/>
      <c r="RLE49" s="952"/>
      <c r="RLF49" s="952"/>
      <c r="RLG49" s="952"/>
      <c r="RLH49" s="952"/>
      <c r="RLI49" s="952"/>
      <c r="RLJ49" s="952"/>
      <c r="RLK49" s="952"/>
      <c r="RLL49" s="952"/>
      <c r="RLM49" s="952"/>
      <c r="RLN49" s="952"/>
      <c r="RLO49" s="952"/>
      <c r="RLP49" s="952"/>
      <c r="RLQ49" s="952"/>
      <c r="RLR49" s="952"/>
      <c r="RLS49" s="952"/>
      <c r="RLT49" s="952"/>
      <c r="RLU49" s="952"/>
      <c r="RLV49" s="952"/>
      <c r="RLW49" s="952"/>
      <c r="RLX49" s="952"/>
      <c r="RLY49" s="952"/>
      <c r="RLZ49" s="952"/>
      <c r="RMA49" s="952"/>
      <c r="RMB49" s="952"/>
      <c r="RMC49" s="952"/>
      <c r="RMD49" s="952"/>
      <c r="RME49" s="952"/>
      <c r="RMF49" s="952"/>
      <c r="RMG49" s="952"/>
      <c r="RMH49" s="952"/>
      <c r="RMI49" s="952"/>
      <c r="RMJ49" s="952"/>
      <c r="RMK49" s="952"/>
      <c r="RML49" s="952"/>
      <c r="RMM49" s="952"/>
      <c r="RMN49" s="952"/>
      <c r="RMO49" s="952"/>
      <c r="RMP49" s="952"/>
      <c r="RMQ49" s="952"/>
      <c r="RMR49" s="952"/>
      <c r="RMS49" s="952"/>
      <c r="RMT49" s="952"/>
      <c r="RMU49" s="952"/>
      <c r="RMV49" s="952"/>
      <c r="RMW49" s="952"/>
      <c r="RMX49" s="952"/>
      <c r="RMY49" s="952"/>
      <c r="RMZ49" s="952"/>
      <c r="RNA49" s="952"/>
      <c r="RNB49" s="952"/>
      <c r="RNC49" s="952"/>
      <c r="RND49" s="952"/>
      <c r="RNE49" s="952"/>
      <c r="RNF49" s="952"/>
      <c r="RNG49" s="952"/>
      <c r="RNH49" s="952"/>
      <c r="RNI49" s="952"/>
      <c r="RNJ49" s="952"/>
      <c r="RNK49" s="952"/>
      <c r="RNL49" s="952"/>
      <c r="RNM49" s="952"/>
      <c r="RNN49" s="952"/>
      <c r="RNO49" s="952"/>
      <c r="RNP49" s="952"/>
      <c r="RNQ49" s="952"/>
      <c r="RNR49" s="952"/>
      <c r="RNS49" s="952"/>
      <c r="RNT49" s="952"/>
      <c r="RNU49" s="952"/>
      <c r="RNV49" s="952"/>
      <c r="RNW49" s="952"/>
      <c r="RNX49" s="952"/>
      <c r="RNY49" s="952"/>
      <c r="RNZ49" s="952"/>
      <c r="ROA49" s="952"/>
      <c r="ROB49" s="952"/>
      <c r="ROC49" s="952"/>
      <c r="ROD49" s="952"/>
      <c r="ROE49" s="952"/>
      <c r="ROF49" s="952"/>
      <c r="ROG49" s="952"/>
      <c r="ROH49" s="952"/>
      <c r="ROI49" s="952"/>
      <c r="ROJ49" s="952"/>
      <c r="ROK49" s="952"/>
      <c r="ROL49" s="952"/>
      <c r="ROM49" s="952"/>
      <c r="RON49" s="952"/>
      <c r="ROO49" s="952"/>
      <c r="ROP49" s="952"/>
      <c r="ROQ49" s="952"/>
      <c r="ROR49" s="952"/>
      <c r="ROS49" s="952"/>
      <c r="ROT49" s="952"/>
      <c r="ROU49" s="952"/>
      <c r="ROV49" s="952"/>
      <c r="ROW49" s="952"/>
      <c r="ROX49" s="952"/>
      <c r="ROY49" s="952"/>
      <c r="ROZ49" s="952"/>
      <c r="RPA49" s="952"/>
      <c r="RPB49" s="952"/>
      <c r="RPC49" s="952"/>
      <c r="RPD49" s="952"/>
      <c r="RPE49" s="952"/>
      <c r="RPF49" s="952"/>
      <c r="RPG49" s="952"/>
      <c r="RPH49" s="952"/>
      <c r="RPI49" s="952"/>
      <c r="RPJ49" s="952"/>
      <c r="RPK49" s="952"/>
      <c r="RPL49" s="952"/>
      <c r="RPM49" s="952"/>
      <c r="RPN49" s="952"/>
      <c r="RPO49" s="952"/>
      <c r="RPP49" s="952"/>
      <c r="RPQ49" s="952"/>
      <c r="RPR49" s="952"/>
      <c r="RPS49" s="952"/>
      <c r="RPT49" s="952"/>
      <c r="RPU49" s="952"/>
      <c r="RPV49" s="952"/>
      <c r="RPW49" s="952"/>
      <c r="RPX49" s="952"/>
      <c r="RPY49" s="952"/>
      <c r="RPZ49" s="952"/>
      <c r="RQA49" s="952"/>
      <c r="RQB49" s="952"/>
      <c r="RQC49" s="952"/>
      <c r="RQD49" s="952"/>
      <c r="RQE49" s="952"/>
      <c r="RQF49" s="952"/>
      <c r="RQG49" s="952"/>
      <c r="RQH49" s="952"/>
      <c r="RQI49" s="952"/>
      <c r="RQJ49" s="952"/>
      <c r="RQK49" s="952"/>
      <c r="RQL49" s="952"/>
      <c r="RQM49" s="952"/>
      <c r="RQN49" s="952"/>
      <c r="RQO49" s="952"/>
      <c r="RQP49" s="952"/>
      <c r="RQQ49" s="952"/>
      <c r="RQR49" s="952"/>
      <c r="RQS49" s="952"/>
      <c r="RQT49" s="952"/>
      <c r="RQU49" s="952"/>
      <c r="RQV49" s="952"/>
      <c r="RQW49" s="952"/>
      <c r="RQX49" s="952"/>
      <c r="RQY49" s="952"/>
      <c r="RQZ49" s="952"/>
      <c r="RRA49" s="952"/>
      <c r="RRB49" s="952"/>
      <c r="RRC49" s="952"/>
      <c r="RRD49" s="952"/>
      <c r="RRE49" s="952"/>
      <c r="RRF49" s="952"/>
      <c r="RRG49" s="952"/>
      <c r="RRH49" s="952"/>
      <c r="RRI49" s="952"/>
      <c r="RRJ49" s="952"/>
      <c r="RRK49" s="952"/>
      <c r="RRL49" s="952"/>
      <c r="RRM49" s="952"/>
      <c r="RRN49" s="952"/>
      <c r="RRO49" s="952"/>
      <c r="RRP49" s="952"/>
      <c r="RRQ49" s="952"/>
      <c r="RRR49" s="952"/>
      <c r="RRS49" s="952"/>
      <c r="RRT49" s="952"/>
      <c r="RRU49" s="952"/>
      <c r="RRV49" s="952"/>
      <c r="RRW49" s="952"/>
      <c r="RRX49" s="952"/>
      <c r="RRY49" s="952"/>
      <c r="RRZ49" s="952"/>
      <c r="RSA49" s="952"/>
      <c r="RSB49" s="952"/>
      <c r="RSC49" s="952"/>
      <c r="RSD49" s="952"/>
      <c r="RSE49" s="952"/>
      <c r="RSF49" s="952"/>
      <c r="RSG49" s="952"/>
      <c r="RSH49" s="952"/>
      <c r="RSI49" s="952"/>
      <c r="RSJ49" s="952"/>
      <c r="RSK49" s="952"/>
      <c r="RSL49" s="952"/>
      <c r="RSM49" s="952"/>
      <c r="RSN49" s="952"/>
      <c r="RSO49" s="952"/>
      <c r="RSP49" s="952"/>
      <c r="RSQ49" s="952"/>
      <c r="RSR49" s="952"/>
      <c r="RSS49" s="952"/>
      <c r="RST49" s="952"/>
      <c r="RSU49" s="952"/>
      <c r="RSV49" s="952"/>
      <c r="RSW49" s="952"/>
      <c r="RSX49" s="952"/>
      <c r="RSY49" s="952"/>
      <c r="RSZ49" s="952"/>
      <c r="RTA49" s="952"/>
      <c r="RTB49" s="952"/>
      <c r="RTC49" s="952"/>
      <c r="RTD49" s="952"/>
      <c r="RTE49" s="952"/>
      <c r="RTF49" s="952"/>
      <c r="RTG49" s="952"/>
      <c r="RTH49" s="952"/>
      <c r="RTI49" s="952"/>
      <c r="RTJ49" s="952"/>
      <c r="RTK49" s="952"/>
      <c r="RTL49" s="952"/>
      <c r="RTM49" s="952"/>
      <c r="RTN49" s="952"/>
      <c r="RTO49" s="952"/>
      <c r="RTP49" s="952"/>
      <c r="RTQ49" s="952"/>
      <c r="RTR49" s="952"/>
      <c r="RTS49" s="952"/>
      <c r="RTT49" s="952"/>
      <c r="RTU49" s="952"/>
      <c r="RTV49" s="952"/>
      <c r="RTW49" s="952"/>
      <c r="RTX49" s="952"/>
      <c r="RTY49" s="952"/>
      <c r="RTZ49" s="952"/>
      <c r="RUA49" s="952"/>
      <c r="RUB49" s="952"/>
      <c r="RUC49" s="952"/>
      <c r="RUD49" s="952"/>
      <c r="RUE49" s="952"/>
      <c r="RUF49" s="952"/>
      <c r="RUG49" s="952"/>
      <c r="RUH49" s="952"/>
      <c r="RUI49" s="952"/>
      <c r="RUJ49" s="952"/>
      <c r="RUK49" s="952"/>
      <c r="RUL49" s="952"/>
      <c r="RUM49" s="952"/>
      <c r="RUN49" s="952"/>
      <c r="RUO49" s="952"/>
      <c r="RUP49" s="952"/>
      <c r="RUQ49" s="952"/>
      <c r="RUR49" s="952"/>
      <c r="RUS49" s="952"/>
      <c r="RUT49" s="952"/>
      <c r="RUU49" s="952"/>
      <c r="RUV49" s="952"/>
      <c r="RUW49" s="952"/>
      <c r="RUX49" s="952"/>
      <c r="RUY49" s="952"/>
      <c r="RUZ49" s="952"/>
      <c r="RVA49" s="952"/>
      <c r="RVB49" s="952"/>
      <c r="RVC49" s="952"/>
      <c r="RVD49" s="952"/>
      <c r="RVE49" s="952"/>
      <c r="RVF49" s="952"/>
      <c r="RVG49" s="952"/>
      <c r="RVH49" s="952"/>
      <c r="RVI49" s="952"/>
      <c r="RVJ49" s="952"/>
      <c r="RVK49" s="952"/>
      <c r="RVL49" s="952"/>
      <c r="RVM49" s="952"/>
      <c r="RVN49" s="952"/>
      <c r="RVO49" s="952"/>
      <c r="RVP49" s="952"/>
      <c r="RVQ49" s="952"/>
      <c r="RVR49" s="952"/>
      <c r="RVS49" s="952"/>
      <c r="RVT49" s="952"/>
      <c r="RVU49" s="952"/>
      <c r="RVV49" s="952"/>
      <c r="RVW49" s="952"/>
      <c r="RVX49" s="952"/>
      <c r="RVY49" s="952"/>
      <c r="RVZ49" s="952"/>
      <c r="RWA49" s="952"/>
      <c r="RWB49" s="952"/>
      <c r="RWC49" s="952"/>
      <c r="RWD49" s="952"/>
      <c r="RWE49" s="952"/>
      <c r="RWF49" s="952"/>
      <c r="RWG49" s="952"/>
      <c r="RWH49" s="952"/>
      <c r="RWI49" s="952"/>
      <c r="RWJ49" s="952"/>
      <c r="RWK49" s="952"/>
      <c r="RWL49" s="952"/>
      <c r="RWM49" s="952"/>
      <c r="RWN49" s="952"/>
      <c r="RWO49" s="952"/>
      <c r="RWP49" s="952"/>
      <c r="RWQ49" s="952"/>
      <c r="RWR49" s="952"/>
      <c r="RWS49" s="952"/>
      <c r="RWT49" s="952"/>
      <c r="RWU49" s="952"/>
      <c r="RWV49" s="952"/>
      <c r="RWW49" s="952"/>
      <c r="RWX49" s="952"/>
      <c r="RWY49" s="952"/>
      <c r="RWZ49" s="952"/>
      <c r="RXA49" s="952"/>
      <c r="RXB49" s="952"/>
      <c r="RXC49" s="952"/>
      <c r="RXD49" s="952"/>
      <c r="RXE49" s="952"/>
      <c r="RXF49" s="952"/>
      <c r="RXG49" s="952"/>
      <c r="RXH49" s="952"/>
      <c r="RXI49" s="952"/>
      <c r="RXJ49" s="952"/>
      <c r="RXK49" s="952"/>
      <c r="RXL49" s="952"/>
      <c r="RXM49" s="952"/>
      <c r="RXN49" s="952"/>
      <c r="RXO49" s="952"/>
      <c r="RXP49" s="952"/>
      <c r="RXQ49" s="952"/>
      <c r="RXR49" s="952"/>
      <c r="RXS49" s="952"/>
      <c r="RXT49" s="952"/>
      <c r="RXU49" s="952"/>
      <c r="RXV49" s="952"/>
      <c r="RXW49" s="952"/>
      <c r="RXX49" s="952"/>
      <c r="RXY49" s="952"/>
      <c r="RXZ49" s="952"/>
      <c r="RYA49" s="952"/>
      <c r="RYB49" s="952"/>
      <c r="RYC49" s="952"/>
      <c r="RYD49" s="952"/>
      <c r="RYE49" s="952"/>
      <c r="RYF49" s="952"/>
      <c r="RYG49" s="952"/>
      <c r="RYH49" s="952"/>
      <c r="RYI49" s="952"/>
      <c r="RYJ49" s="952"/>
      <c r="RYK49" s="952"/>
      <c r="RYL49" s="952"/>
      <c r="RYM49" s="952"/>
      <c r="RYN49" s="952"/>
      <c r="RYO49" s="952"/>
      <c r="RYP49" s="952"/>
      <c r="RYQ49" s="952"/>
      <c r="RYR49" s="952"/>
      <c r="RYS49" s="952"/>
      <c r="RYT49" s="952"/>
      <c r="RYU49" s="952"/>
      <c r="RYV49" s="952"/>
      <c r="RYW49" s="952"/>
      <c r="RYX49" s="952"/>
      <c r="RYY49" s="952"/>
      <c r="RYZ49" s="952"/>
      <c r="RZA49" s="952"/>
      <c r="RZB49" s="952"/>
      <c r="RZC49" s="952"/>
      <c r="RZD49" s="952"/>
      <c r="RZE49" s="952"/>
      <c r="RZF49" s="952"/>
      <c r="RZG49" s="952"/>
      <c r="RZH49" s="952"/>
      <c r="RZI49" s="952"/>
      <c r="RZJ49" s="952"/>
      <c r="RZK49" s="952"/>
      <c r="RZL49" s="952"/>
      <c r="RZM49" s="952"/>
      <c r="RZN49" s="952"/>
      <c r="RZO49" s="952"/>
      <c r="RZP49" s="952"/>
      <c r="RZQ49" s="952"/>
      <c r="RZR49" s="952"/>
      <c r="RZS49" s="952"/>
      <c r="RZT49" s="952"/>
      <c r="RZU49" s="952"/>
      <c r="RZV49" s="952"/>
      <c r="RZW49" s="952"/>
      <c r="RZX49" s="952"/>
      <c r="RZY49" s="952"/>
      <c r="RZZ49" s="952"/>
      <c r="SAA49" s="952"/>
      <c r="SAB49" s="952"/>
      <c r="SAC49" s="952"/>
      <c r="SAD49" s="952"/>
      <c r="SAE49" s="952"/>
      <c r="SAF49" s="952"/>
      <c r="SAG49" s="952"/>
      <c r="SAH49" s="952"/>
      <c r="SAI49" s="952"/>
      <c r="SAJ49" s="952"/>
      <c r="SAK49" s="952"/>
      <c r="SAL49" s="952"/>
      <c r="SAM49" s="952"/>
      <c r="SAN49" s="952"/>
      <c r="SAO49" s="952"/>
      <c r="SAP49" s="952"/>
      <c r="SAQ49" s="952"/>
      <c r="SAR49" s="952"/>
      <c r="SAS49" s="952"/>
      <c r="SAT49" s="952"/>
      <c r="SAU49" s="952"/>
      <c r="SAV49" s="952"/>
      <c r="SAW49" s="952"/>
      <c r="SAX49" s="952"/>
      <c r="SAY49" s="952"/>
      <c r="SAZ49" s="952"/>
      <c r="SBA49" s="952"/>
      <c r="SBB49" s="952"/>
      <c r="SBC49" s="952"/>
      <c r="SBD49" s="952"/>
      <c r="SBE49" s="952"/>
      <c r="SBF49" s="952"/>
      <c r="SBG49" s="952"/>
      <c r="SBH49" s="952"/>
      <c r="SBI49" s="952"/>
      <c r="SBJ49" s="952"/>
      <c r="SBK49" s="952"/>
      <c r="SBL49" s="952"/>
      <c r="SBM49" s="952"/>
      <c r="SBN49" s="952"/>
      <c r="SBO49" s="952"/>
      <c r="SBP49" s="952"/>
      <c r="SBQ49" s="952"/>
      <c r="SBR49" s="952"/>
      <c r="SBS49" s="952"/>
      <c r="SBT49" s="952"/>
      <c r="SBU49" s="952"/>
      <c r="SBV49" s="952"/>
      <c r="SBW49" s="952"/>
      <c r="SBX49" s="952"/>
      <c r="SBY49" s="952"/>
      <c r="SBZ49" s="952"/>
      <c r="SCA49" s="952"/>
      <c r="SCB49" s="952"/>
      <c r="SCC49" s="952"/>
      <c r="SCD49" s="952"/>
      <c r="SCE49" s="952"/>
      <c r="SCF49" s="952"/>
      <c r="SCG49" s="952"/>
      <c r="SCH49" s="952"/>
      <c r="SCI49" s="952"/>
      <c r="SCJ49" s="952"/>
      <c r="SCK49" s="952"/>
      <c r="SCL49" s="952"/>
      <c r="SCM49" s="952"/>
      <c r="SCN49" s="952"/>
      <c r="SCO49" s="952"/>
      <c r="SCP49" s="952"/>
      <c r="SCQ49" s="952"/>
      <c r="SCR49" s="952"/>
      <c r="SCS49" s="952"/>
      <c r="SCT49" s="952"/>
      <c r="SCU49" s="952"/>
      <c r="SCV49" s="952"/>
      <c r="SCW49" s="952"/>
      <c r="SCX49" s="952"/>
      <c r="SCY49" s="952"/>
      <c r="SCZ49" s="952"/>
      <c r="SDA49" s="952"/>
      <c r="SDB49" s="952"/>
      <c r="SDC49" s="952"/>
      <c r="SDD49" s="952"/>
      <c r="SDE49" s="952"/>
      <c r="SDF49" s="952"/>
      <c r="SDG49" s="952"/>
      <c r="SDH49" s="952"/>
      <c r="SDI49" s="952"/>
      <c r="SDJ49" s="952"/>
      <c r="SDK49" s="952"/>
      <c r="SDL49" s="952"/>
      <c r="SDM49" s="952"/>
      <c r="SDN49" s="952"/>
      <c r="SDO49" s="952"/>
      <c r="SDP49" s="952"/>
      <c r="SDQ49" s="952"/>
      <c r="SDR49" s="952"/>
      <c r="SDS49" s="952"/>
      <c r="SDT49" s="952"/>
      <c r="SDU49" s="952"/>
      <c r="SDV49" s="952"/>
      <c r="SDW49" s="952"/>
      <c r="SDX49" s="952"/>
      <c r="SDY49" s="952"/>
      <c r="SDZ49" s="952"/>
      <c r="SEA49" s="952"/>
      <c r="SEB49" s="952"/>
      <c r="SEC49" s="952"/>
      <c r="SED49" s="952"/>
      <c r="SEE49" s="952"/>
      <c r="SEF49" s="952"/>
      <c r="SEG49" s="952"/>
      <c r="SEH49" s="952"/>
      <c r="SEI49" s="952"/>
      <c r="SEJ49" s="952"/>
      <c r="SEK49" s="952"/>
      <c r="SEL49" s="952"/>
      <c r="SEM49" s="952"/>
      <c r="SEN49" s="952"/>
      <c r="SEO49" s="952"/>
      <c r="SEP49" s="952"/>
      <c r="SEQ49" s="952"/>
      <c r="SER49" s="952"/>
      <c r="SES49" s="952"/>
      <c r="SET49" s="952"/>
      <c r="SEU49" s="952"/>
      <c r="SEV49" s="952"/>
      <c r="SEW49" s="952"/>
      <c r="SEX49" s="952"/>
      <c r="SEY49" s="952"/>
      <c r="SEZ49" s="952"/>
      <c r="SFA49" s="952"/>
      <c r="SFB49" s="952"/>
      <c r="SFC49" s="952"/>
      <c r="SFD49" s="952"/>
      <c r="SFE49" s="952"/>
      <c r="SFF49" s="952"/>
      <c r="SFG49" s="952"/>
      <c r="SFH49" s="952"/>
      <c r="SFI49" s="952"/>
      <c r="SFJ49" s="952"/>
      <c r="SFK49" s="952"/>
      <c r="SFL49" s="952"/>
      <c r="SFM49" s="952"/>
      <c r="SFN49" s="952"/>
      <c r="SFO49" s="952"/>
      <c r="SFP49" s="952"/>
      <c r="SFQ49" s="952"/>
      <c r="SFR49" s="952"/>
      <c r="SFS49" s="952"/>
      <c r="SFT49" s="952"/>
      <c r="SFU49" s="952"/>
      <c r="SFV49" s="952"/>
      <c r="SFW49" s="952"/>
      <c r="SFX49" s="952"/>
      <c r="SFY49" s="952"/>
      <c r="SFZ49" s="952"/>
      <c r="SGA49" s="952"/>
      <c r="SGB49" s="952"/>
      <c r="SGC49" s="952"/>
      <c r="SGD49" s="952"/>
      <c r="SGE49" s="952"/>
      <c r="SGF49" s="952"/>
      <c r="SGG49" s="952"/>
      <c r="SGH49" s="952"/>
      <c r="SGI49" s="952"/>
      <c r="SGJ49" s="952"/>
      <c r="SGK49" s="952"/>
      <c r="SGL49" s="952"/>
      <c r="SGM49" s="952"/>
      <c r="SGN49" s="952"/>
      <c r="SGO49" s="952"/>
      <c r="SGP49" s="952"/>
      <c r="SGQ49" s="952"/>
      <c r="SGR49" s="952"/>
      <c r="SGS49" s="952"/>
      <c r="SGT49" s="952"/>
      <c r="SGU49" s="952"/>
      <c r="SGV49" s="952"/>
      <c r="SGW49" s="952"/>
      <c r="SGX49" s="952"/>
      <c r="SGY49" s="952"/>
      <c r="SGZ49" s="952"/>
      <c r="SHA49" s="952"/>
      <c r="SHB49" s="952"/>
      <c r="SHC49" s="952"/>
      <c r="SHD49" s="952"/>
      <c r="SHE49" s="952"/>
      <c r="SHF49" s="952"/>
      <c r="SHG49" s="952"/>
      <c r="SHH49" s="952"/>
      <c r="SHI49" s="952"/>
      <c r="SHJ49" s="952"/>
      <c r="SHK49" s="952"/>
      <c r="SHL49" s="952"/>
      <c r="SHM49" s="952"/>
      <c r="SHN49" s="952"/>
      <c r="SHO49" s="952"/>
      <c r="SHP49" s="952"/>
      <c r="SHQ49" s="952"/>
      <c r="SHR49" s="952"/>
      <c r="SHS49" s="952"/>
      <c r="SHT49" s="952"/>
      <c r="SHU49" s="952"/>
      <c r="SHV49" s="952"/>
      <c r="SHW49" s="952"/>
      <c r="SHX49" s="952"/>
      <c r="SHY49" s="952"/>
      <c r="SHZ49" s="952"/>
      <c r="SIA49" s="952"/>
      <c r="SIB49" s="952"/>
      <c r="SIC49" s="952"/>
      <c r="SID49" s="952"/>
      <c r="SIE49" s="952"/>
      <c r="SIF49" s="952"/>
      <c r="SIG49" s="952"/>
      <c r="SIH49" s="952"/>
      <c r="SII49" s="952"/>
      <c r="SIJ49" s="952"/>
      <c r="SIK49" s="952"/>
      <c r="SIL49" s="952"/>
      <c r="SIM49" s="952"/>
      <c r="SIN49" s="952"/>
      <c r="SIO49" s="952"/>
      <c r="SIP49" s="952"/>
      <c r="SIQ49" s="952"/>
      <c r="SIR49" s="952"/>
      <c r="SIS49" s="952"/>
      <c r="SIT49" s="952"/>
      <c r="SIU49" s="952"/>
      <c r="SIV49" s="952"/>
      <c r="SIW49" s="952"/>
      <c r="SIX49" s="952"/>
      <c r="SIY49" s="952"/>
      <c r="SIZ49" s="952"/>
      <c r="SJA49" s="952"/>
      <c r="SJB49" s="952"/>
      <c r="SJC49" s="952"/>
      <c r="SJD49" s="952"/>
      <c r="SJE49" s="952"/>
      <c r="SJF49" s="952"/>
      <c r="SJG49" s="952"/>
      <c r="SJH49" s="952"/>
      <c r="SJI49" s="952"/>
      <c r="SJJ49" s="952"/>
      <c r="SJK49" s="952"/>
      <c r="SJL49" s="952"/>
      <c r="SJM49" s="952"/>
      <c r="SJN49" s="952"/>
      <c r="SJO49" s="952"/>
      <c r="SJP49" s="952"/>
      <c r="SJQ49" s="952"/>
      <c r="SJR49" s="952"/>
      <c r="SJS49" s="952"/>
      <c r="SJT49" s="952"/>
      <c r="SJU49" s="952"/>
      <c r="SJV49" s="952"/>
      <c r="SJW49" s="952"/>
      <c r="SJX49" s="952"/>
      <c r="SJY49" s="952"/>
      <c r="SJZ49" s="952"/>
      <c r="SKA49" s="952"/>
      <c r="SKB49" s="952"/>
      <c r="SKC49" s="952"/>
      <c r="SKD49" s="952"/>
      <c r="SKE49" s="952"/>
      <c r="SKF49" s="952"/>
      <c r="SKG49" s="952"/>
      <c r="SKH49" s="952"/>
      <c r="SKI49" s="952"/>
      <c r="SKJ49" s="952"/>
      <c r="SKK49" s="952"/>
      <c r="SKL49" s="952"/>
      <c r="SKM49" s="952"/>
      <c r="SKN49" s="952"/>
      <c r="SKO49" s="952"/>
      <c r="SKP49" s="952"/>
      <c r="SKQ49" s="952"/>
      <c r="SKR49" s="952"/>
      <c r="SKS49" s="952"/>
      <c r="SKT49" s="952"/>
      <c r="SKU49" s="952"/>
      <c r="SKV49" s="952"/>
      <c r="SKW49" s="952"/>
      <c r="SKX49" s="952"/>
      <c r="SKY49" s="952"/>
      <c r="SKZ49" s="952"/>
      <c r="SLA49" s="952"/>
      <c r="SLB49" s="952"/>
      <c r="SLC49" s="952"/>
      <c r="SLD49" s="952"/>
      <c r="SLE49" s="952"/>
      <c r="SLF49" s="952"/>
      <c r="SLG49" s="952"/>
      <c r="SLH49" s="952"/>
      <c r="SLI49" s="952"/>
      <c r="SLJ49" s="952"/>
      <c r="SLK49" s="952"/>
      <c r="SLL49" s="952"/>
      <c r="SLM49" s="952"/>
      <c r="SLN49" s="952"/>
      <c r="SLO49" s="952"/>
      <c r="SLP49" s="952"/>
      <c r="SLQ49" s="952"/>
      <c r="SLR49" s="952"/>
      <c r="SLS49" s="952"/>
      <c r="SLT49" s="952"/>
      <c r="SLU49" s="952"/>
      <c r="SLV49" s="952"/>
      <c r="SLW49" s="952"/>
      <c r="SLX49" s="952"/>
      <c r="SLY49" s="952"/>
      <c r="SLZ49" s="952"/>
      <c r="SMA49" s="952"/>
      <c r="SMB49" s="952"/>
      <c r="SMC49" s="952"/>
      <c r="SMD49" s="952"/>
      <c r="SME49" s="952"/>
      <c r="SMF49" s="952"/>
      <c r="SMG49" s="952"/>
      <c r="SMH49" s="952"/>
      <c r="SMI49" s="952"/>
      <c r="SMJ49" s="952"/>
      <c r="SMK49" s="952"/>
      <c r="SML49" s="952"/>
      <c r="SMM49" s="952"/>
      <c r="SMN49" s="952"/>
      <c r="SMO49" s="952"/>
      <c r="SMP49" s="952"/>
      <c r="SMQ49" s="952"/>
      <c r="SMR49" s="952"/>
      <c r="SMS49" s="952"/>
      <c r="SMT49" s="952"/>
      <c r="SMU49" s="952"/>
      <c r="SMV49" s="952"/>
      <c r="SMW49" s="952"/>
      <c r="SMX49" s="952"/>
      <c r="SMY49" s="952"/>
      <c r="SMZ49" s="952"/>
      <c r="SNA49" s="952"/>
      <c r="SNB49" s="952"/>
      <c r="SNC49" s="952"/>
      <c r="SND49" s="952"/>
      <c r="SNE49" s="952"/>
      <c r="SNF49" s="952"/>
      <c r="SNG49" s="952"/>
      <c r="SNH49" s="952"/>
      <c r="SNI49" s="952"/>
      <c r="SNJ49" s="952"/>
      <c r="SNK49" s="952"/>
      <c r="SNL49" s="952"/>
      <c r="SNM49" s="952"/>
      <c r="SNN49" s="952"/>
      <c r="SNO49" s="952"/>
      <c r="SNP49" s="952"/>
      <c r="SNQ49" s="952"/>
      <c r="SNR49" s="952"/>
      <c r="SNS49" s="952"/>
      <c r="SNT49" s="952"/>
      <c r="SNU49" s="952"/>
      <c r="SNV49" s="952"/>
      <c r="SNW49" s="952"/>
      <c r="SNX49" s="952"/>
      <c r="SNY49" s="952"/>
      <c r="SNZ49" s="952"/>
      <c r="SOA49" s="952"/>
      <c r="SOB49" s="952"/>
      <c r="SOC49" s="952"/>
      <c r="SOD49" s="952"/>
      <c r="SOE49" s="952"/>
      <c r="SOF49" s="952"/>
      <c r="SOG49" s="952"/>
      <c r="SOH49" s="952"/>
      <c r="SOI49" s="952"/>
      <c r="SOJ49" s="952"/>
      <c r="SOK49" s="952"/>
      <c r="SOL49" s="952"/>
      <c r="SOM49" s="952"/>
      <c r="SON49" s="952"/>
      <c r="SOO49" s="952"/>
      <c r="SOP49" s="952"/>
      <c r="SOQ49" s="952"/>
      <c r="SOR49" s="952"/>
      <c r="SOS49" s="952"/>
      <c r="SOT49" s="952"/>
      <c r="SOU49" s="952"/>
      <c r="SOV49" s="952"/>
      <c r="SOW49" s="952"/>
      <c r="SOX49" s="952"/>
      <c r="SOY49" s="952"/>
      <c r="SOZ49" s="952"/>
      <c r="SPA49" s="952"/>
      <c r="SPB49" s="952"/>
      <c r="SPC49" s="952"/>
      <c r="SPD49" s="952"/>
      <c r="SPE49" s="952"/>
      <c r="SPF49" s="952"/>
      <c r="SPG49" s="952"/>
      <c r="SPH49" s="952"/>
      <c r="SPI49" s="952"/>
      <c r="SPJ49" s="952"/>
      <c r="SPK49" s="952"/>
      <c r="SPL49" s="952"/>
      <c r="SPM49" s="952"/>
      <c r="SPN49" s="952"/>
      <c r="SPO49" s="952"/>
      <c r="SPP49" s="952"/>
      <c r="SPQ49" s="952"/>
      <c r="SPR49" s="952"/>
      <c r="SPS49" s="952"/>
      <c r="SPT49" s="952"/>
      <c r="SPU49" s="952"/>
      <c r="SPV49" s="952"/>
      <c r="SPW49" s="952"/>
      <c r="SPX49" s="952"/>
      <c r="SPY49" s="952"/>
      <c r="SPZ49" s="952"/>
      <c r="SQA49" s="952"/>
      <c r="SQB49" s="952"/>
      <c r="SQC49" s="952"/>
      <c r="SQD49" s="952"/>
      <c r="SQE49" s="952"/>
      <c r="SQF49" s="952"/>
      <c r="SQG49" s="952"/>
      <c r="SQH49" s="952"/>
      <c r="SQI49" s="952"/>
      <c r="SQJ49" s="952"/>
      <c r="SQK49" s="952"/>
      <c r="SQL49" s="952"/>
      <c r="SQM49" s="952"/>
      <c r="SQN49" s="952"/>
      <c r="SQO49" s="952"/>
      <c r="SQP49" s="952"/>
      <c r="SQQ49" s="952"/>
      <c r="SQR49" s="952"/>
      <c r="SQS49" s="952"/>
      <c r="SQT49" s="952"/>
      <c r="SQU49" s="952"/>
      <c r="SQV49" s="952"/>
      <c r="SQW49" s="952"/>
      <c r="SQX49" s="952"/>
      <c r="SQY49" s="952"/>
      <c r="SQZ49" s="952"/>
      <c r="SRA49" s="952"/>
      <c r="SRB49" s="952"/>
      <c r="SRC49" s="952"/>
      <c r="SRD49" s="952"/>
      <c r="SRE49" s="952"/>
      <c r="SRF49" s="952"/>
      <c r="SRG49" s="952"/>
      <c r="SRH49" s="952"/>
      <c r="SRI49" s="952"/>
      <c r="SRJ49" s="952"/>
      <c r="SRK49" s="952"/>
      <c r="SRL49" s="952"/>
      <c r="SRM49" s="952"/>
      <c r="SRN49" s="952"/>
      <c r="SRO49" s="952"/>
      <c r="SRP49" s="952"/>
      <c r="SRQ49" s="952"/>
      <c r="SRR49" s="952"/>
      <c r="SRS49" s="952"/>
      <c r="SRT49" s="952"/>
      <c r="SRU49" s="952"/>
      <c r="SRV49" s="952"/>
      <c r="SRW49" s="952"/>
      <c r="SRX49" s="952"/>
      <c r="SRY49" s="952"/>
      <c r="SRZ49" s="952"/>
      <c r="SSA49" s="952"/>
      <c r="SSB49" s="952"/>
      <c r="SSC49" s="952"/>
      <c r="SSD49" s="952"/>
      <c r="SSE49" s="952"/>
      <c r="SSF49" s="952"/>
      <c r="SSG49" s="952"/>
      <c r="SSH49" s="952"/>
      <c r="SSI49" s="952"/>
      <c r="SSJ49" s="952"/>
      <c r="SSK49" s="952"/>
      <c r="SSL49" s="952"/>
      <c r="SSM49" s="952"/>
      <c r="SSN49" s="952"/>
      <c r="SSO49" s="952"/>
      <c r="SSP49" s="952"/>
      <c r="SSQ49" s="952"/>
      <c r="SSR49" s="952"/>
      <c r="SSS49" s="952"/>
      <c r="SST49" s="952"/>
      <c r="SSU49" s="952"/>
      <c r="SSV49" s="952"/>
      <c r="SSW49" s="952"/>
      <c r="SSX49" s="952"/>
      <c r="SSY49" s="952"/>
      <c r="SSZ49" s="952"/>
      <c r="STA49" s="952"/>
      <c r="STB49" s="952"/>
      <c r="STC49" s="952"/>
      <c r="STD49" s="952"/>
      <c r="STE49" s="952"/>
      <c r="STF49" s="952"/>
      <c r="STG49" s="952"/>
      <c r="STH49" s="952"/>
      <c r="STI49" s="952"/>
      <c r="STJ49" s="952"/>
      <c r="STK49" s="952"/>
      <c r="STL49" s="952"/>
      <c r="STM49" s="952"/>
      <c r="STN49" s="952"/>
      <c r="STO49" s="952"/>
      <c r="STP49" s="952"/>
      <c r="STQ49" s="952"/>
      <c r="STR49" s="952"/>
      <c r="STS49" s="952"/>
      <c r="STT49" s="952"/>
      <c r="STU49" s="952"/>
      <c r="STV49" s="952"/>
      <c r="STW49" s="952"/>
      <c r="STX49" s="952"/>
      <c r="STY49" s="952"/>
      <c r="STZ49" s="952"/>
      <c r="SUA49" s="952"/>
      <c r="SUB49" s="952"/>
      <c r="SUC49" s="952"/>
      <c r="SUD49" s="952"/>
      <c r="SUE49" s="952"/>
      <c r="SUF49" s="952"/>
      <c r="SUG49" s="952"/>
      <c r="SUH49" s="952"/>
      <c r="SUI49" s="952"/>
      <c r="SUJ49" s="952"/>
      <c r="SUK49" s="952"/>
      <c r="SUL49" s="952"/>
      <c r="SUM49" s="952"/>
      <c r="SUN49" s="952"/>
      <c r="SUO49" s="952"/>
      <c r="SUP49" s="952"/>
      <c r="SUQ49" s="952"/>
      <c r="SUR49" s="952"/>
      <c r="SUS49" s="952"/>
      <c r="SUT49" s="952"/>
      <c r="SUU49" s="952"/>
      <c r="SUV49" s="952"/>
      <c r="SUW49" s="952"/>
      <c r="SUX49" s="952"/>
      <c r="SUY49" s="952"/>
      <c r="SUZ49" s="952"/>
      <c r="SVA49" s="952"/>
      <c r="SVB49" s="952"/>
      <c r="SVC49" s="952"/>
      <c r="SVD49" s="952"/>
      <c r="SVE49" s="952"/>
      <c r="SVF49" s="952"/>
      <c r="SVG49" s="952"/>
      <c r="SVH49" s="952"/>
      <c r="SVI49" s="952"/>
      <c r="SVJ49" s="952"/>
      <c r="SVK49" s="952"/>
      <c r="SVL49" s="952"/>
      <c r="SVM49" s="952"/>
      <c r="SVN49" s="952"/>
      <c r="SVO49" s="952"/>
      <c r="SVP49" s="952"/>
      <c r="SVQ49" s="952"/>
      <c r="SVR49" s="952"/>
      <c r="SVS49" s="952"/>
      <c r="SVT49" s="952"/>
      <c r="SVU49" s="952"/>
      <c r="SVV49" s="952"/>
      <c r="SVW49" s="952"/>
      <c r="SVX49" s="952"/>
      <c r="SVY49" s="952"/>
      <c r="SVZ49" s="952"/>
      <c r="SWA49" s="952"/>
      <c r="SWB49" s="952"/>
      <c r="SWC49" s="952"/>
      <c r="SWD49" s="952"/>
      <c r="SWE49" s="952"/>
      <c r="SWF49" s="952"/>
      <c r="SWG49" s="952"/>
      <c r="SWH49" s="952"/>
      <c r="SWI49" s="952"/>
      <c r="SWJ49" s="952"/>
      <c r="SWK49" s="952"/>
      <c r="SWL49" s="952"/>
      <c r="SWM49" s="952"/>
      <c r="SWN49" s="952"/>
      <c r="SWO49" s="952"/>
      <c r="SWP49" s="952"/>
      <c r="SWQ49" s="952"/>
      <c r="SWR49" s="952"/>
      <c r="SWS49" s="952"/>
      <c r="SWT49" s="952"/>
      <c r="SWU49" s="952"/>
      <c r="SWV49" s="952"/>
      <c r="SWW49" s="952"/>
      <c r="SWX49" s="952"/>
      <c r="SWY49" s="952"/>
      <c r="SWZ49" s="952"/>
      <c r="SXA49" s="952"/>
      <c r="SXB49" s="952"/>
      <c r="SXC49" s="952"/>
      <c r="SXD49" s="952"/>
      <c r="SXE49" s="952"/>
      <c r="SXF49" s="952"/>
      <c r="SXG49" s="952"/>
      <c r="SXH49" s="952"/>
      <c r="SXI49" s="952"/>
      <c r="SXJ49" s="952"/>
      <c r="SXK49" s="952"/>
      <c r="SXL49" s="952"/>
      <c r="SXM49" s="952"/>
      <c r="SXN49" s="952"/>
      <c r="SXO49" s="952"/>
      <c r="SXP49" s="952"/>
      <c r="SXQ49" s="952"/>
      <c r="SXR49" s="952"/>
      <c r="SXS49" s="952"/>
      <c r="SXT49" s="952"/>
      <c r="SXU49" s="952"/>
      <c r="SXV49" s="952"/>
      <c r="SXW49" s="952"/>
      <c r="SXX49" s="952"/>
      <c r="SXY49" s="952"/>
      <c r="SXZ49" s="952"/>
      <c r="SYA49" s="952"/>
      <c r="SYB49" s="952"/>
      <c r="SYC49" s="952"/>
      <c r="SYD49" s="952"/>
      <c r="SYE49" s="952"/>
      <c r="SYF49" s="952"/>
      <c r="SYG49" s="952"/>
      <c r="SYH49" s="952"/>
      <c r="SYI49" s="952"/>
      <c r="SYJ49" s="952"/>
      <c r="SYK49" s="952"/>
      <c r="SYL49" s="952"/>
      <c r="SYM49" s="952"/>
      <c r="SYN49" s="952"/>
      <c r="SYO49" s="952"/>
      <c r="SYP49" s="952"/>
      <c r="SYQ49" s="952"/>
      <c r="SYR49" s="952"/>
      <c r="SYS49" s="952"/>
      <c r="SYT49" s="952"/>
      <c r="SYU49" s="952"/>
      <c r="SYV49" s="952"/>
      <c r="SYW49" s="952"/>
      <c r="SYX49" s="952"/>
      <c r="SYY49" s="952"/>
      <c r="SYZ49" s="952"/>
      <c r="SZA49" s="952"/>
      <c r="SZB49" s="952"/>
      <c r="SZC49" s="952"/>
      <c r="SZD49" s="952"/>
      <c r="SZE49" s="952"/>
      <c r="SZF49" s="952"/>
      <c r="SZG49" s="952"/>
      <c r="SZH49" s="952"/>
      <c r="SZI49" s="952"/>
      <c r="SZJ49" s="952"/>
      <c r="SZK49" s="952"/>
      <c r="SZL49" s="952"/>
      <c r="SZM49" s="952"/>
      <c r="SZN49" s="952"/>
      <c r="SZO49" s="952"/>
      <c r="SZP49" s="952"/>
      <c r="SZQ49" s="952"/>
      <c r="SZR49" s="952"/>
      <c r="SZS49" s="952"/>
      <c r="SZT49" s="952"/>
      <c r="SZU49" s="952"/>
      <c r="SZV49" s="952"/>
      <c r="SZW49" s="952"/>
      <c r="SZX49" s="952"/>
      <c r="SZY49" s="952"/>
      <c r="SZZ49" s="952"/>
      <c r="TAA49" s="952"/>
      <c r="TAB49" s="952"/>
      <c r="TAC49" s="952"/>
      <c r="TAD49" s="952"/>
      <c r="TAE49" s="952"/>
      <c r="TAF49" s="952"/>
      <c r="TAG49" s="952"/>
      <c r="TAH49" s="952"/>
      <c r="TAI49" s="952"/>
      <c r="TAJ49" s="952"/>
      <c r="TAK49" s="952"/>
      <c r="TAL49" s="952"/>
      <c r="TAM49" s="952"/>
      <c r="TAN49" s="952"/>
      <c r="TAO49" s="952"/>
      <c r="TAP49" s="952"/>
      <c r="TAQ49" s="952"/>
      <c r="TAR49" s="952"/>
      <c r="TAS49" s="952"/>
      <c r="TAT49" s="952"/>
      <c r="TAU49" s="952"/>
      <c r="TAV49" s="952"/>
      <c r="TAW49" s="952"/>
      <c r="TAX49" s="952"/>
      <c r="TAY49" s="952"/>
      <c r="TAZ49" s="952"/>
      <c r="TBA49" s="952"/>
      <c r="TBB49" s="952"/>
      <c r="TBC49" s="952"/>
      <c r="TBD49" s="952"/>
      <c r="TBE49" s="952"/>
      <c r="TBF49" s="952"/>
      <c r="TBG49" s="952"/>
      <c r="TBH49" s="952"/>
      <c r="TBI49" s="952"/>
      <c r="TBJ49" s="952"/>
      <c r="TBK49" s="952"/>
      <c r="TBL49" s="952"/>
      <c r="TBM49" s="952"/>
      <c r="TBN49" s="952"/>
      <c r="TBO49" s="952"/>
      <c r="TBP49" s="952"/>
      <c r="TBQ49" s="952"/>
      <c r="TBR49" s="952"/>
      <c r="TBS49" s="952"/>
      <c r="TBT49" s="952"/>
      <c r="TBU49" s="952"/>
      <c r="TBV49" s="952"/>
      <c r="TBW49" s="952"/>
      <c r="TBX49" s="952"/>
      <c r="TBY49" s="952"/>
      <c r="TBZ49" s="952"/>
      <c r="TCA49" s="952"/>
      <c r="TCB49" s="952"/>
      <c r="TCC49" s="952"/>
      <c r="TCD49" s="952"/>
      <c r="TCE49" s="952"/>
      <c r="TCF49" s="952"/>
      <c r="TCG49" s="952"/>
      <c r="TCH49" s="952"/>
      <c r="TCI49" s="952"/>
      <c r="TCJ49" s="952"/>
      <c r="TCK49" s="952"/>
      <c r="TCL49" s="952"/>
      <c r="TCM49" s="952"/>
      <c r="TCN49" s="952"/>
      <c r="TCO49" s="952"/>
      <c r="TCP49" s="952"/>
      <c r="TCQ49" s="952"/>
      <c r="TCR49" s="952"/>
      <c r="TCS49" s="952"/>
      <c r="TCT49" s="952"/>
      <c r="TCU49" s="952"/>
      <c r="TCV49" s="952"/>
      <c r="TCW49" s="952"/>
      <c r="TCX49" s="952"/>
      <c r="TCY49" s="952"/>
      <c r="TCZ49" s="952"/>
      <c r="TDA49" s="952"/>
      <c r="TDB49" s="952"/>
      <c r="TDC49" s="952"/>
      <c r="TDD49" s="952"/>
      <c r="TDE49" s="952"/>
      <c r="TDF49" s="952"/>
      <c r="TDG49" s="952"/>
      <c r="TDH49" s="952"/>
      <c r="TDI49" s="952"/>
      <c r="TDJ49" s="952"/>
      <c r="TDK49" s="952"/>
      <c r="TDL49" s="952"/>
      <c r="TDM49" s="952"/>
      <c r="TDN49" s="952"/>
      <c r="TDO49" s="952"/>
      <c r="TDP49" s="952"/>
      <c r="TDQ49" s="952"/>
      <c r="TDR49" s="952"/>
      <c r="TDS49" s="952"/>
      <c r="TDT49" s="952"/>
      <c r="TDU49" s="952"/>
      <c r="TDV49" s="952"/>
      <c r="TDW49" s="952"/>
      <c r="TDX49" s="952"/>
      <c r="TDY49" s="952"/>
      <c r="TDZ49" s="952"/>
      <c r="TEA49" s="952"/>
      <c r="TEB49" s="952"/>
      <c r="TEC49" s="952"/>
      <c r="TED49" s="952"/>
      <c r="TEE49" s="952"/>
      <c r="TEF49" s="952"/>
      <c r="TEG49" s="952"/>
      <c r="TEH49" s="952"/>
      <c r="TEI49" s="952"/>
      <c r="TEJ49" s="952"/>
      <c r="TEK49" s="952"/>
      <c r="TEL49" s="952"/>
      <c r="TEM49" s="952"/>
      <c r="TEN49" s="952"/>
      <c r="TEO49" s="952"/>
      <c r="TEP49" s="952"/>
      <c r="TEQ49" s="952"/>
      <c r="TER49" s="952"/>
      <c r="TES49" s="952"/>
      <c r="TET49" s="952"/>
      <c r="TEU49" s="952"/>
      <c r="TEV49" s="952"/>
      <c r="TEW49" s="952"/>
      <c r="TEX49" s="952"/>
      <c r="TEY49" s="952"/>
      <c r="TEZ49" s="952"/>
      <c r="TFA49" s="952"/>
      <c r="TFB49" s="952"/>
      <c r="TFC49" s="952"/>
      <c r="TFD49" s="952"/>
      <c r="TFE49" s="952"/>
      <c r="TFF49" s="952"/>
      <c r="TFG49" s="952"/>
      <c r="TFH49" s="952"/>
      <c r="TFI49" s="952"/>
      <c r="TFJ49" s="952"/>
      <c r="TFK49" s="952"/>
      <c r="TFL49" s="952"/>
      <c r="TFM49" s="952"/>
      <c r="TFN49" s="952"/>
      <c r="TFO49" s="952"/>
      <c r="TFP49" s="952"/>
      <c r="TFQ49" s="952"/>
      <c r="TFR49" s="952"/>
      <c r="TFS49" s="952"/>
      <c r="TFT49" s="952"/>
      <c r="TFU49" s="952"/>
      <c r="TFV49" s="952"/>
      <c r="TFW49" s="952"/>
      <c r="TFX49" s="952"/>
      <c r="TFY49" s="952"/>
      <c r="TFZ49" s="952"/>
      <c r="TGA49" s="952"/>
      <c r="TGB49" s="952"/>
      <c r="TGC49" s="952"/>
      <c r="TGD49" s="952"/>
      <c r="TGE49" s="952"/>
      <c r="TGF49" s="952"/>
      <c r="TGG49" s="952"/>
      <c r="TGH49" s="952"/>
      <c r="TGI49" s="952"/>
      <c r="TGJ49" s="952"/>
      <c r="TGK49" s="952"/>
      <c r="TGL49" s="952"/>
      <c r="TGM49" s="952"/>
      <c r="TGN49" s="952"/>
      <c r="TGO49" s="952"/>
      <c r="TGP49" s="952"/>
      <c r="TGQ49" s="952"/>
      <c r="TGR49" s="952"/>
      <c r="TGS49" s="952"/>
      <c r="TGT49" s="952"/>
      <c r="TGU49" s="952"/>
      <c r="TGV49" s="952"/>
      <c r="TGW49" s="952"/>
      <c r="TGX49" s="952"/>
      <c r="TGY49" s="952"/>
      <c r="TGZ49" s="952"/>
      <c r="THA49" s="952"/>
      <c r="THB49" s="952"/>
      <c r="THC49" s="952"/>
      <c r="THD49" s="952"/>
      <c r="THE49" s="952"/>
      <c r="THF49" s="952"/>
      <c r="THG49" s="952"/>
      <c r="THH49" s="952"/>
      <c r="THI49" s="952"/>
      <c r="THJ49" s="952"/>
      <c r="THK49" s="952"/>
      <c r="THL49" s="952"/>
      <c r="THM49" s="952"/>
      <c r="THN49" s="952"/>
      <c r="THO49" s="952"/>
      <c r="THP49" s="952"/>
      <c r="THQ49" s="952"/>
      <c r="THR49" s="952"/>
      <c r="THS49" s="952"/>
      <c r="THT49" s="952"/>
      <c r="THU49" s="952"/>
      <c r="THV49" s="952"/>
      <c r="THW49" s="952"/>
      <c r="THX49" s="952"/>
      <c r="THY49" s="952"/>
      <c r="THZ49" s="952"/>
      <c r="TIA49" s="952"/>
      <c r="TIB49" s="952"/>
      <c r="TIC49" s="952"/>
      <c r="TID49" s="952"/>
      <c r="TIE49" s="952"/>
      <c r="TIF49" s="952"/>
      <c r="TIG49" s="952"/>
      <c r="TIH49" s="952"/>
      <c r="TII49" s="952"/>
      <c r="TIJ49" s="952"/>
      <c r="TIK49" s="952"/>
      <c r="TIL49" s="952"/>
      <c r="TIM49" s="952"/>
      <c r="TIN49" s="952"/>
      <c r="TIO49" s="952"/>
      <c r="TIP49" s="952"/>
      <c r="TIQ49" s="952"/>
      <c r="TIR49" s="952"/>
      <c r="TIS49" s="952"/>
      <c r="TIT49" s="952"/>
      <c r="TIU49" s="952"/>
      <c r="TIV49" s="952"/>
      <c r="TIW49" s="952"/>
      <c r="TIX49" s="952"/>
      <c r="TIY49" s="952"/>
      <c r="TIZ49" s="952"/>
      <c r="TJA49" s="952"/>
      <c r="TJB49" s="952"/>
      <c r="TJC49" s="952"/>
      <c r="TJD49" s="952"/>
      <c r="TJE49" s="952"/>
      <c r="TJF49" s="952"/>
      <c r="TJG49" s="952"/>
      <c r="TJH49" s="952"/>
      <c r="TJI49" s="952"/>
      <c r="TJJ49" s="952"/>
      <c r="TJK49" s="952"/>
      <c r="TJL49" s="952"/>
      <c r="TJM49" s="952"/>
      <c r="TJN49" s="952"/>
      <c r="TJO49" s="952"/>
      <c r="TJP49" s="952"/>
      <c r="TJQ49" s="952"/>
      <c r="TJR49" s="952"/>
      <c r="TJS49" s="952"/>
      <c r="TJT49" s="952"/>
      <c r="TJU49" s="952"/>
      <c r="TJV49" s="952"/>
      <c r="TJW49" s="952"/>
      <c r="TJX49" s="952"/>
      <c r="TJY49" s="952"/>
      <c r="TJZ49" s="952"/>
      <c r="TKA49" s="952"/>
      <c r="TKB49" s="952"/>
      <c r="TKC49" s="952"/>
      <c r="TKD49" s="952"/>
      <c r="TKE49" s="952"/>
      <c r="TKF49" s="952"/>
      <c r="TKG49" s="952"/>
      <c r="TKH49" s="952"/>
      <c r="TKI49" s="952"/>
      <c r="TKJ49" s="952"/>
      <c r="TKK49" s="952"/>
      <c r="TKL49" s="952"/>
      <c r="TKM49" s="952"/>
      <c r="TKN49" s="952"/>
      <c r="TKO49" s="952"/>
      <c r="TKP49" s="952"/>
      <c r="TKQ49" s="952"/>
      <c r="TKR49" s="952"/>
      <c r="TKS49" s="952"/>
      <c r="TKT49" s="952"/>
      <c r="TKU49" s="952"/>
      <c r="TKV49" s="952"/>
      <c r="TKW49" s="952"/>
      <c r="TKX49" s="952"/>
      <c r="TKY49" s="952"/>
      <c r="TKZ49" s="952"/>
      <c r="TLA49" s="952"/>
      <c r="TLB49" s="952"/>
      <c r="TLC49" s="952"/>
      <c r="TLD49" s="952"/>
      <c r="TLE49" s="952"/>
      <c r="TLF49" s="952"/>
      <c r="TLG49" s="952"/>
      <c r="TLH49" s="952"/>
      <c r="TLI49" s="952"/>
      <c r="TLJ49" s="952"/>
      <c r="TLK49" s="952"/>
      <c r="TLL49" s="952"/>
      <c r="TLM49" s="952"/>
      <c r="TLN49" s="952"/>
      <c r="TLO49" s="952"/>
      <c r="TLP49" s="952"/>
      <c r="TLQ49" s="952"/>
      <c r="TLR49" s="952"/>
      <c r="TLS49" s="952"/>
      <c r="TLT49" s="952"/>
      <c r="TLU49" s="952"/>
      <c r="TLV49" s="952"/>
      <c r="TLW49" s="952"/>
      <c r="TLX49" s="952"/>
      <c r="TLY49" s="952"/>
      <c r="TLZ49" s="952"/>
      <c r="TMA49" s="952"/>
      <c r="TMB49" s="952"/>
      <c r="TMC49" s="952"/>
      <c r="TMD49" s="952"/>
      <c r="TME49" s="952"/>
      <c r="TMF49" s="952"/>
      <c r="TMG49" s="952"/>
      <c r="TMH49" s="952"/>
      <c r="TMI49" s="952"/>
      <c r="TMJ49" s="952"/>
      <c r="TMK49" s="952"/>
      <c r="TML49" s="952"/>
      <c r="TMM49" s="952"/>
      <c r="TMN49" s="952"/>
      <c r="TMO49" s="952"/>
      <c r="TMP49" s="952"/>
      <c r="TMQ49" s="952"/>
      <c r="TMR49" s="952"/>
      <c r="TMS49" s="952"/>
      <c r="TMT49" s="952"/>
      <c r="TMU49" s="952"/>
      <c r="TMV49" s="952"/>
      <c r="TMW49" s="952"/>
      <c r="TMX49" s="952"/>
      <c r="TMY49" s="952"/>
      <c r="TMZ49" s="952"/>
      <c r="TNA49" s="952"/>
      <c r="TNB49" s="952"/>
      <c r="TNC49" s="952"/>
      <c r="TND49" s="952"/>
      <c r="TNE49" s="952"/>
      <c r="TNF49" s="952"/>
      <c r="TNG49" s="952"/>
      <c r="TNH49" s="952"/>
      <c r="TNI49" s="952"/>
      <c r="TNJ49" s="952"/>
      <c r="TNK49" s="952"/>
      <c r="TNL49" s="952"/>
      <c r="TNM49" s="952"/>
      <c r="TNN49" s="952"/>
      <c r="TNO49" s="952"/>
      <c r="TNP49" s="952"/>
      <c r="TNQ49" s="952"/>
      <c r="TNR49" s="952"/>
      <c r="TNS49" s="952"/>
      <c r="TNT49" s="952"/>
      <c r="TNU49" s="952"/>
      <c r="TNV49" s="952"/>
      <c r="TNW49" s="952"/>
      <c r="TNX49" s="952"/>
      <c r="TNY49" s="952"/>
      <c r="TNZ49" s="952"/>
      <c r="TOA49" s="952"/>
      <c r="TOB49" s="952"/>
      <c r="TOC49" s="952"/>
      <c r="TOD49" s="952"/>
      <c r="TOE49" s="952"/>
      <c r="TOF49" s="952"/>
      <c r="TOG49" s="952"/>
      <c r="TOH49" s="952"/>
      <c r="TOI49" s="952"/>
      <c r="TOJ49" s="952"/>
      <c r="TOK49" s="952"/>
      <c r="TOL49" s="952"/>
      <c r="TOM49" s="952"/>
      <c r="TON49" s="952"/>
      <c r="TOO49" s="952"/>
      <c r="TOP49" s="952"/>
      <c r="TOQ49" s="952"/>
      <c r="TOR49" s="952"/>
      <c r="TOS49" s="952"/>
      <c r="TOT49" s="952"/>
      <c r="TOU49" s="952"/>
      <c r="TOV49" s="952"/>
      <c r="TOW49" s="952"/>
      <c r="TOX49" s="952"/>
      <c r="TOY49" s="952"/>
      <c r="TOZ49" s="952"/>
      <c r="TPA49" s="952"/>
      <c r="TPB49" s="952"/>
      <c r="TPC49" s="952"/>
      <c r="TPD49" s="952"/>
      <c r="TPE49" s="952"/>
      <c r="TPF49" s="952"/>
      <c r="TPG49" s="952"/>
      <c r="TPH49" s="952"/>
      <c r="TPI49" s="952"/>
      <c r="TPJ49" s="952"/>
      <c r="TPK49" s="952"/>
      <c r="TPL49" s="952"/>
      <c r="TPM49" s="952"/>
      <c r="TPN49" s="952"/>
      <c r="TPO49" s="952"/>
      <c r="TPP49" s="952"/>
      <c r="TPQ49" s="952"/>
      <c r="TPR49" s="952"/>
      <c r="TPS49" s="952"/>
      <c r="TPT49" s="952"/>
      <c r="TPU49" s="952"/>
      <c r="TPV49" s="952"/>
      <c r="TPW49" s="952"/>
      <c r="TPX49" s="952"/>
      <c r="TPY49" s="952"/>
      <c r="TPZ49" s="952"/>
      <c r="TQA49" s="952"/>
      <c r="TQB49" s="952"/>
      <c r="TQC49" s="952"/>
      <c r="TQD49" s="952"/>
      <c r="TQE49" s="952"/>
      <c r="TQF49" s="952"/>
      <c r="TQG49" s="952"/>
      <c r="TQH49" s="952"/>
      <c r="TQI49" s="952"/>
      <c r="TQJ49" s="952"/>
      <c r="TQK49" s="952"/>
      <c r="TQL49" s="952"/>
      <c r="TQM49" s="952"/>
      <c r="TQN49" s="952"/>
      <c r="TQO49" s="952"/>
      <c r="TQP49" s="952"/>
      <c r="TQQ49" s="952"/>
      <c r="TQR49" s="952"/>
      <c r="TQS49" s="952"/>
      <c r="TQT49" s="952"/>
      <c r="TQU49" s="952"/>
      <c r="TQV49" s="952"/>
      <c r="TQW49" s="952"/>
      <c r="TQX49" s="952"/>
      <c r="TQY49" s="952"/>
      <c r="TQZ49" s="952"/>
      <c r="TRA49" s="952"/>
      <c r="TRB49" s="952"/>
      <c r="TRC49" s="952"/>
      <c r="TRD49" s="952"/>
      <c r="TRE49" s="952"/>
      <c r="TRF49" s="952"/>
      <c r="TRG49" s="952"/>
      <c r="TRH49" s="952"/>
      <c r="TRI49" s="952"/>
      <c r="TRJ49" s="952"/>
      <c r="TRK49" s="952"/>
      <c r="TRL49" s="952"/>
      <c r="TRM49" s="952"/>
      <c r="TRN49" s="952"/>
      <c r="TRO49" s="952"/>
      <c r="TRP49" s="952"/>
      <c r="TRQ49" s="952"/>
      <c r="TRR49" s="952"/>
      <c r="TRS49" s="952"/>
      <c r="TRT49" s="952"/>
      <c r="TRU49" s="952"/>
      <c r="TRV49" s="952"/>
      <c r="TRW49" s="952"/>
      <c r="TRX49" s="952"/>
      <c r="TRY49" s="952"/>
      <c r="TRZ49" s="952"/>
      <c r="TSA49" s="952"/>
      <c r="TSB49" s="952"/>
      <c r="TSC49" s="952"/>
      <c r="TSD49" s="952"/>
      <c r="TSE49" s="952"/>
      <c r="TSF49" s="952"/>
      <c r="TSG49" s="952"/>
      <c r="TSH49" s="952"/>
      <c r="TSI49" s="952"/>
      <c r="TSJ49" s="952"/>
      <c r="TSK49" s="952"/>
      <c r="TSL49" s="952"/>
      <c r="TSM49" s="952"/>
      <c r="TSN49" s="952"/>
      <c r="TSO49" s="952"/>
      <c r="TSP49" s="952"/>
      <c r="TSQ49" s="952"/>
      <c r="TSR49" s="952"/>
      <c r="TSS49" s="952"/>
      <c r="TST49" s="952"/>
      <c r="TSU49" s="952"/>
      <c r="TSV49" s="952"/>
      <c r="TSW49" s="952"/>
      <c r="TSX49" s="952"/>
      <c r="TSY49" s="952"/>
      <c r="TSZ49" s="952"/>
      <c r="TTA49" s="952"/>
      <c r="TTB49" s="952"/>
      <c r="TTC49" s="952"/>
      <c r="TTD49" s="952"/>
      <c r="TTE49" s="952"/>
      <c r="TTF49" s="952"/>
      <c r="TTG49" s="952"/>
      <c r="TTH49" s="952"/>
      <c r="TTI49" s="952"/>
      <c r="TTJ49" s="952"/>
      <c r="TTK49" s="952"/>
      <c r="TTL49" s="952"/>
      <c r="TTM49" s="952"/>
      <c r="TTN49" s="952"/>
      <c r="TTO49" s="952"/>
      <c r="TTP49" s="952"/>
      <c r="TTQ49" s="952"/>
      <c r="TTR49" s="952"/>
      <c r="TTS49" s="952"/>
      <c r="TTT49" s="952"/>
      <c r="TTU49" s="952"/>
      <c r="TTV49" s="952"/>
      <c r="TTW49" s="952"/>
      <c r="TTX49" s="952"/>
      <c r="TTY49" s="952"/>
      <c r="TTZ49" s="952"/>
      <c r="TUA49" s="952"/>
      <c r="TUB49" s="952"/>
      <c r="TUC49" s="952"/>
      <c r="TUD49" s="952"/>
      <c r="TUE49" s="952"/>
      <c r="TUF49" s="952"/>
      <c r="TUG49" s="952"/>
      <c r="TUH49" s="952"/>
      <c r="TUI49" s="952"/>
      <c r="TUJ49" s="952"/>
      <c r="TUK49" s="952"/>
      <c r="TUL49" s="952"/>
      <c r="TUM49" s="952"/>
      <c r="TUN49" s="952"/>
      <c r="TUO49" s="952"/>
      <c r="TUP49" s="952"/>
      <c r="TUQ49" s="952"/>
      <c r="TUR49" s="952"/>
      <c r="TUS49" s="952"/>
      <c r="TUT49" s="952"/>
      <c r="TUU49" s="952"/>
      <c r="TUV49" s="952"/>
      <c r="TUW49" s="952"/>
      <c r="TUX49" s="952"/>
      <c r="TUY49" s="952"/>
      <c r="TUZ49" s="952"/>
      <c r="TVA49" s="952"/>
      <c r="TVB49" s="952"/>
      <c r="TVC49" s="952"/>
      <c r="TVD49" s="952"/>
      <c r="TVE49" s="952"/>
      <c r="TVF49" s="952"/>
      <c r="TVG49" s="952"/>
      <c r="TVH49" s="952"/>
      <c r="TVI49" s="952"/>
      <c r="TVJ49" s="952"/>
      <c r="TVK49" s="952"/>
      <c r="TVL49" s="952"/>
      <c r="TVM49" s="952"/>
      <c r="TVN49" s="952"/>
      <c r="TVO49" s="952"/>
      <c r="TVP49" s="952"/>
      <c r="TVQ49" s="952"/>
      <c r="TVR49" s="952"/>
      <c r="TVS49" s="952"/>
      <c r="TVT49" s="952"/>
      <c r="TVU49" s="952"/>
      <c r="TVV49" s="952"/>
      <c r="TVW49" s="952"/>
      <c r="TVX49" s="952"/>
      <c r="TVY49" s="952"/>
      <c r="TVZ49" s="952"/>
      <c r="TWA49" s="952"/>
      <c r="TWB49" s="952"/>
      <c r="TWC49" s="952"/>
      <c r="TWD49" s="952"/>
      <c r="TWE49" s="952"/>
      <c r="TWF49" s="952"/>
      <c r="TWG49" s="952"/>
      <c r="TWH49" s="952"/>
      <c r="TWI49" s="952"/>
      <c r="TWJ49" s="952"/>
      <c r="TWK49" s="952"/>
      <c r="TWL49" s="952"/>
      <c r="TWM49" s="952"/>
      <c r="TWN49" s="952"/>
      <c r="TWO49" s="952"/>
      <c r="TWP49" s="952"/>
      <c r="TWQ49" s="952"/>
      <c r="TWR49" s="952"/>
      <c r="TWS49" s="952"/>
      <c r="TWT49" s="952"/>
      <c r="TWU49" s="952"/>
      <c r="TWV49" s="952"/>
      <c r="TWW49" s="952"/>
      <c r="TWX49" s="952"/>
      <c r="TWY49" s="952"/>
      <c r="TWZ49" s="952"/>
      <c r="TXA49" s="952"/>
      <c r="TXB49" s="952"/>
      <c r="TXC49" s="952"/>
      <c r="TXD49" s="952"/>
      <c r="TXE49" s="952"/>
      <c r="TXF49" s="952"/>
      <c r="TXG49" s="952"/>
      <c r="TXH49" s="952"/>
      <c r="TXI49" s="952"/>
      <c r="TXJ49" s="952"/>
      <c r="TXK49" s="952"/>
      <c r="TXL49" s="952"/>
      <c r="TXM49" s="952"/>
      <c r="TXN49" s="952"/>
      <c r="TXO49" s="952"/>
      <c r="TXP49" s="952"/>
      <c r="TXQ49" s="952"/>
      <c r="TXR49" s="952"/>
      <c r="TXS49" s="952"/>
      <c r="TXT49" s="952"/>
      <c r="TXU49" s="952"/>
      <c r="TXV49" s="952"/>
      <c r="TXW49" s="952"/>
      <c r="TXX49" s="952"/>
      <c r="TXY49" s="952"/>
      <c r="TXZ49" s="952"/>
      <c r="TYA49" s="952"/>
      <c r="TYB49" s="952"/>
      <c r="TYC49" s="952"/>
      <c r="TYD49" s="952"/>
      <c r="TYE49" s="952"/>
      <c r="TYF49" s="952"/>
      <c r="TYG49" s="952"/>
      <c r="TYH49" s="952"/>
      <c r="TYI49" s="952"/>
      <c r="TYJ49" s="952"/>
      <c r="TYK49" s="952"/>
      <c r="TYL49" s="952"/>
      <c r="TYM49" s="952"/>
      <c r="TYN49" s="952"/>
      <c r="TYO49" s="952"/>
      <c r="TYP49" s="952"/>
      <c r="TYQ49" s="952"/>
      <c r="TYR49" s="952"/>
      <c r="TYS49" s="952"/>
      <c r="TYT49" s="952"/>
      <c r="TYU49" s="952"/>
      <c r="TYV49" s="952"/>
      <c r="TYW49" s="952"/>
      <c r="TYX49" s="952"/>
      <c r="TYY49" s="952"/>
      <c r="TYZ49" s="952"/>
      <c r="TZA49" s="952"/>
      <c r="TZB49" s="952"/>
      <c r="TZC49" s="952"/>
      <c r="TZD49" s="952"/>
      <c r="TZE49" s="952"/>
      <c r="TZF49" s="952"/>
      <c r="TZG49" s="952"/>
      <c r="TZH49" s="952"/>
      <c r="TZI49" s="952"/>
      <c r="TZJ49" s="952"/>
      <c r="TZK49" s="952"/>
      <c r="TZL49" s="952"/>
      <c r="TZM49" s="952"/>
      <c r="TZN49" s="952"/>
      <c r="TZO49" s="952"/>
      <c r="TZP49" s="952"/>
      <c r="TZQ49" s="952"/>
      <c r="TZR49" s="952"/>
      <c r="TZS49" s="952"/>
      <c r="TZT49" s="952"/>
      <c r="TZU49" s="952"/>
      <c r="TZV49" s="952"/>
      <c r="TZW49" s="952"/>
      <c r="TZX49" s="952"/>
      <c r="TZY49" s="952"/>
      <c r="TZZ49" s="952"/>
      <c r="UAA49" s="952"/>
      <c r="UAB49" s="952"/>
      <c r="UAC49" s="952"/>
      <c r="UAD49" s="952"/>
      <c r="UAE49" s="952"/>
      <c r="UAF49" s="952"/>
      <c r="UAG49" s="952"/>
      <c r="UAH49" s="952"/>
      <c r="UAI49" s="952"/>
      <c r="UAJ49" s="952"/>
      <c r="UAK49" s="952"/>
      <c r="UAL49" s="952"/>
      <c r="UAM49" s="952"/>
      <c r="UAN49" s="952"/>
      <c r="UAO49" s="952"/>
      <c r="UAP49" s="952"/>
      <c r="UAQ49" s="952"/>
      <c r="UAR49" s="952"/>
      <c r="UAS49" s="952"/>
      <c r="UAT49" s="952"/>
      <c r="UAU49" s="952"/>
      <c r="UAV49" s="952"/>
      <c r="UAW49" s="952"/>
      <c r="UAX49" s="952"/>
      <c r="UAY49" s="952"/>
      <c r="UAZ49" s="952"/>
      <c r="UBA49" s="952"/>
      <c r="UBB49" s="952"/>
      <c r="UBC49" s="952"/>
      <c r="UBD49" s="952"/>
      <c r="UBE49" s="952"/>
      <c r="UBF49" s="952"/>
      <c r="UBG49" s="952"/>
      <c r="UBH49" s="952"/>
      <c r="UBI49" s="952"/>
      <c r="UBJ49" s="952"/>
      <c r="UBK49" s="952"/>
      <c r="UBL49" s="952"/>
      <c r="UBM49" s="952"/>
      <c r="UBN49" s="952"/>
      <c r="UBO49" s="952"/>
      <c r="UBP49" s="952"/>
      <c r="UBQ49" s="952"/>
      <c r="UBR49" s="952"/>
      <c r="UBS49" s="952"/>
      <c r="UBT49" s="952"/>
      <c r="UBU49" s="952"/>
      <c r="UBV49" s="952"/>
      <c r="UBW49" s="952"/>
      <c r="UBX49" s="952"/>
      <c r="UBY49" s="952"/>
      <c r="UBZ49" s="952"/>
      <c r="UCA49" s="952"/>
      <c r="UCB49" s="952"/>
      <c r="UCC49" s="952"/>
      <c r="UCD49" s="952"/>
      <c r="UCE49" s="952"/>
      <c r="UCF49" s="952"/>
      <c r="UCG49" s="952"/>
      <c r="UCH49" s="952"/>
      <c r="UCI49" s="952"/>
      <c r="UCJ49" s="952"/>
      <c r="UCK49" s="952"/>
      <c r="UCL49" s="952"/>
      <c r="UCM49" s="952"/>
      <c r="UCN49" s="952"/>
      <c r="UCO49" s="952"/>
      <c r="UCP49" s="952"/>
      <c r="UCQ49" s="952"/>
      <c r="UCR49" s="952"/>
      <c r="UCS49" s="952"/>
      <c r="UCT49" s="952"/>
      <c r="UCU49" s="952"/>
      <c r="UCV49" s="952"/>
      <c r="UCW49" s="952"/>
      <c r="UCX49" s="952"/>
      <c r="UCY49" s="952"/>
      <c r="UCZ49" s="952"/>
      <c r="UDA49" s="952"/>
      <c r="UDB49" s="952"/>
      <c r="UDC49" s="952"/>
      <c r="UDD49" s="952"/>
      <c r="UDE49" s="952"/>
      <c r="UDF49" s="952"/>
      <c r="UDG49" s="952"/>
      <c r="UDH49" s="952"/>
      <c r="UDI49" s="952"/>
      <c r="UDJ49" s="952"/>
      <c r="UDK49" s="952"/>
      <c r="UDL49" s="952"/>
      <c r="UDM49" s="952"/>
      <c r="UDN49" s="952"/>
      <c r="UDO49" s="952"/>
      <c r="UDP49" s="952"/>
      <c r="UDQ49" s="952"/>
      <c r="UDR49" s="952"/>
      <c r="UDS49" s="952"/>
      <c r="UDT49" s="952"/>
      <c r="UDU49" s="952"/>
      <c r="UDV49" s="952"/>
      <c r="UDW49" s="952"/>
      <c r="UDX49" s="952"/>
      <c r="UDY49" s="952"/>
      <c r="UDZ49" s="952"/>
      <c r="UEA49" s="952"/>
      <c r="UEB49" s="952"/>
      <c r="UEC49" s="952"/>
      <c r="UED49" s="952"/>
      <c r="UEE49" s="952"/>
      <c r="UEF49" s="952"/>
      <c r="UEG49" s="952"/>
      <c r="UEH49" s="952"/>
      <c r="UEI49" s="952"/>
      <c r="UEJ49" s="952"/>
      <c r="UEK49" s="952"/>
      <c r="UEL49" s="952"/>
      <c r="UEM49" s="952"/>
      <c r="UEN49" s="952"/>
      <c r="UEO49" s="952"/>
      <c r="UEP49" s="952"/>
      <c r="UEQ49" s="952"/>
      <c r="UER49" s="952"/>
      <c r="UES49" s="952"/>
      <c r="UET49" s="952"/>
      <c r="UEU49" s="952"/>
      <c r="UEV49" s="952"/>
      <c r="UEW49" s="952"/>
      <c r="UEX49" s="952"/>
      <c r="UEY49" s="952"/>
      <c r="UEZ49" s="952"/>
      <c r="UFA49" s="952"/>
      <c r="UFB49" s="952"/>
      <c r="UFC49" s="952"/>
      <c r="UFD49" s="952"/>
      <c r="UFE49" s="952"/>
      <c r="UFF49" s="952"/>
      <c r="UFG49" s="952"/>
      <c r="UFH49" s="952"/>
      <c r="UFI49" s="952"/>
      <c r="UFJ49" s="952"/>
      <c r="UFK49" s="952"/>
      <c r="UFL49" s="952"/>
      <c r="UFM49" s="952"/>
      <c r="UFN49" s="952"/>
      <c r="UFO49" s="952"/>
      <c r="UFP49" s="952"/>
      <c r="UFQ49" s="952"/>
      <c r="UFR49" s="952"/>
      <c r="UFS49" s="952"/>
      <c r="UFT49" s="952"/>
      <c r="UFU49" s="952"/>
      <c r="UFV49" s="952"/>
      <c r="UFW49" s="952"/>
      <c r="UFX49" s="952"/>
      <c r="UFY49" s="952"/>
      <c r="UFZ49" s="952"/>
      <c r="UGA49" s="952"/>
      <c r="UGB49" s="952"/>
      <c r="UGC49" s="952"/>
      <c r="UGD49" s="952"/>
      <c r="UGE49" s="952"/>
      <c r="UGF49" s="952"/>
      <c r="UGG49" s="952"/>
      <c r="UGH49" s="952"/>
      <c r="UGI49" s="952"/>
      <c r="UGJ49" s="952"/>
      <c r="UGK49" s="952"/>
      <c r="UGL49" s="952"/>
      <c r="UGM49" s="952"/>
      <c r="UGN49" s="952"/>
      <c r="UGO49" s="952"/>
      <c r="UGP49" s="952"/>
      <c r="UGQ49" s="952"/>
      <c r="UGR49" s="952"/>
      <c r="UGS49" s="952"/>
      <c r="UGT49" s="952"/>
      <c r="UGU49" s="952"/>
      <c r="UGV49" s="952"/>
      <c r="UGW49" s="952"/>
      <c r="UGX49" s="952"/>
      <c r="UGY49" s="952"/>
      <c r="UGZ49" s="952"/>
      <c r="UHA49" s="952"/>
      <c r="UHB49" s="952"/>
      <c r="UHC49" s="952"/>
      <c r="UHD49" s="952"/>
      <c r="UHE49" s="952"/>
      <c r="UHF49" s="952"/>
      <c r="UHG49" s="952"/>
      <c r="UHH49" s="952"/>
      <c r="UHI49" s="952"/>
      <c r="UHJ49" s="952"/>
      <c r="UHK49" s="952"/>
      <c r="UHL49" s="952"/>
      <c r="UHM49" s="952"/>
      <c r="UHN49" s="952"/>
      <c r="UHO49" s="952"/>
      <c r="UHP49" s="952"/>
      <c r="UHQ49" s="952"/>
      <c r="UHR49" s="952"/>
      <c r="UHS49" s="952"/>
      <c r="UHT49" s="952"/>
      <c r="UHU49" s="952"/>
      <c r="UHV49" s="952"/>
      <c r="UHW49" s="952"/>
      <c r="UHX49" s="952"/>
      <c r="UHY49" s="952"/>
      <c r="UHZ49" s="952"/>
      <c r="UIA49" s="952"/>
      <c r="UIB49" s="952"/>
      <c r="UIC49" s="952"/>
      <c r="UID49" s="952"/>
      <c r="UIE49" s="952"/>
      <c r="UIF49" s="952"/>
      <c r="UIG49" s="952"/>
      <c r="UIH49" s="952"/>
      <c r="UII49" s="952"/>
      <c r="UIJ49" s="952"/>
      <c r="UIK49" s="952"/>
      <c r="UIL49" s="952"/>
      <c r="UIM49" s="952"/>
      <c r="UIN49" s="952"/>
      <c r="UIO49" s="952"/>
      <c r="UIP49" s="952"/>
      <c r="UIQ49" s="952"/>
      <c r="UIR49" s="952"/>
      <c r="UIS49" s="952"/>
      <c r="UIT49" s="952"/>
      <c r="UIU49" s="952"/>
      <c r="UIV49" s="952"/>
      <c r="UIW49" s="952"/>
      <c r="UIX49" s="952"/>
      <c r="UIY49" s="952"/>
      <c r="UIZ49" s="952"/>
      <c r="UJA49" s="952"/>
      <c r="UJB49" s="952"/>
      <c r="UJC49" s="952"/>
      <c r="UJD49" s="952"/>
      <c r="UJE49" s="952"/>
      <c r="UJF49" s="952"/>
      <c r="UJG49" s="952"/>
      <c r="UJH49" s="952"/>
      <c r="UJI49" s="952"/>
      <c r="UJJ49" s="952"/>
      <c r="UJK49" s="952"/>
      <c r="UJL49" s="952"/>
      <c r="UJM49" s="952"/>
      <c r="UJN49" s="952"/>
      <c r="UJO49" s="952"/>
      <c r="UJP49" s="952"/>
      <c r="UJQ49" s="952"/>
      <c r="UJR49" s="952"/>
      <c r="UJS49" s="952"/>
      <c r="UJT49" s="952"/>
      <c r="UJU49" s="952"/>
      <c r="UJV49" s="952"/>
      <c r="UJW49" s="952"/>
      <c r="UJX49" s="952"/>
      <c r="UJY49" s="952"/>
      <c r="UJZ49" s="952"/>
      <c r="UKA49" s="952"/>
      <c r="UKB49" s="952"/>
      <c r="UKC49" s="952"/>
      <c r="UKD49" s="952"/>
      <c r="UKE49" s="952"/>
      <c r="UKF49" s="952"/>
      <c r="UKG49" s="952"/>
      <c r="UKH49" s="952"/>
      <c r="UKI49" s="952"/>
      <c r="UKJ49" s="952"/>
      <c r="UKK49" s="952"/>
      <c r="UKL49" s="952"/>
      <c r="UKM49" s="952"/>
      <c r="UKN49" s="952"/>
      <c r="UKO49" s="952"/>
      <c r="UKP49" s="952"/>
      <c r="UKQ49" s="952"/>
      <c r="UKR49" s="952"/>
      <c r="UKS49" s="952"/>
      <c r="UKT49" s="952"/>
      <c r="UKU49" s="952"/>
      <c r="UKV49" s="952"/>
      <c r="UKW49" s="952"/>
      <c r="UKX49" s="952"/>
      <c r="UKY49" s="952"/>
      <c r="UKZ49" s="952"/>
      <c r="ULA49" s="952"/>
      <c r="ULB49" s="952"/>
      <c r="ULC49" s="952"/>
      <c r="ULD49" s="952"/>
      <c r="ULE49" s="952"/>
      <c r="ULF49" s="952"/>
      <c r="ULG49" s="952"/>
      <c r="ULH49" s="952"/>
      <c r="ULI49" s="952"/>
      <c r="ULJ49" s="952"/>
      <c r="ULK49" s="952"/>
      <c r="ULL49" s="952"/>
      <c r="ULM49" s="952"/>
      <c r="ULN49" s="952"/>
      <c r="ULO49" s="952"/>
      <c r="ULP49" s="952"/>
      <c r="ULQ49" s="952"/>
      <c r="ULR49" s="952"/>
      <c r="ULS49" s="952"/>
      <c r="ULT49" s="952"/>
      <c r="ULU49" s="952"/>
      <c r="ULV49" s="952"/>
      <c r="ULW49" s="952"/>
      <c r="ULX49" s="952"/>
      <c r="ULY49" s="952"/>
      <c r="ULZ49" s="952"/>
      <c r="UMA49" s="952"/>
      <c r="UMB49" s="952"/>
      <c r="UMC49" s="952"/>
      <c r="UMD49" s="952"/>
      <c r="UME49" s="952"/>
      <c r="UMF49" s="952"/>
      <c r="UMG49" s="952"/>
      <c r="UMH49" s="952"/>
      <c r="UMI49" s="952"/>
      <c r="UMJ49" s="952"/>
      <c r="UMK49" s="952"/>
      <c r="UML49" s="952"/>
      <c r="UMM49" s="952"/>
      <c r="UMN49" s="952"/>
      <c r="UMO49" s="952"/>
      <c r="UMP49" s="952"/>
      <c r="UMQ49" s="952"/>
      <c r="UMR49" s="952"/>
      <c r="UMS49" s="952"/>
      <c r="UMT49" s="952"/>
      <c r="UMU49" s="952"/>
      <c r="UMV49" s="952"/>
      <c r="UMW49" s="952"/>
      <c r="UMX49" s="952"/>
      <c r="UMY49" s="952"/>
      <c r="UMZ49" s="952"/>
      <c r="UNA49" s="952"/>
      <c r="UNB49" s="952"/>
      <c r="UNC49" s="952"/>
      <c r="UND49" s="952"/>
      <c r="UNE49" s="952"/>
      <c r="UNF49" s="952"/>
      <c r="UNG49" s="952"/>
      <c r="UNH49" s="952"/>
      <c r="UNI49" s="952"/>
      <c r="UNJ49" s="952"/>
      <c r="UNK49" s="952"/>
      <c r="UNL49" s="952"/>
      <c r="UNM49" s="952"/>
      <c r="UNN49" s="952"/>
      <c r="UNO49" s="952"/>
      <c r="UNP49" s="952"/>
      <c r="UNQ49" s="952"/>
      <c r="UNR49" s="952"/>
      <c r="UNS49" s="952"/>
      <c r="UNT49" s="952"/>
      <c r="UNU49" s="952"/>
      <c r="UNV49" s="952"/>
      <c r="UNW49" s="952"/>
      <c r="UNX49" s="952"/>
      <c r="UNY49" s="952"/>
      <c r="UNZ49" s="952"/>
      <c r="UOA49" s="952"/>
      <c r="UOB49" s="952"/>
      <c r="UOC49" s="952"/>
      <c r="UOD49" s="952"/>
      <c r="UOE49" s="952"/>
      <c r="UOF49" s="952"/>
      <c r="UOG49" s="952"/>
      <c r="UOH49" s="952"/>
      <c r="UOI49" s="952"/>
      <c r="UOJ49" s="952"/>
      <c r="UOK49" s="952"/>
      <c r="UOL49" s="952"/>
      <c r="UOM49" s="952"/>
      <c r="UON49" s="952"/>
      <c r="UOO49" s="952"/>
      <c r="UOP49" s="952"/>
      <c r="UOQ49" s="952"/>
      <c r="UOR49" s="952"/>
      <c r="UOS49" s="952"/>
      <c r="UOT49" s="952"/>
      <c r="UOU49" s="952"/>
      <c r="UOV49" s="952"/>
      <c r="UOW49" s="952"/>
      <c r="UOX49" s="952"/>
      <c r="UOY49" s="952"/>
      <c r="UOZ49" s="952"/>
      <c r="UPA49" s="952"/>
      <c r="UPB49" s="952"/>
      <c r="UPC49" s="952"/>
      <c r="UPD49" s="952"/>
      <c r="UPE49" s="952"/>
      <c r="UPF49" s="952"/>
      <c r="UPG49" s="952"/>
      <c r="UPH49" s="952"/>
      <c r="UPI49" s="952"/>
      <c r="UPJ49" s="952"/>
      <c r="UPK49" s="952"/>
      <c r="UPL49" s="952"/>
      <c r="UPM49" s="952"/>
      <c r="UPN49" s="952"/>
      <c r="UPO49" s="952"/>
      <c r="UPP49" s="952"/>
      <c r="UPQ49" s="952"/>
      <c r="UPR49" s="952"/>
      <c r="UPS49" s="952"/>
      <c r="UPT49" s="952"/>
      <c r="UPU49" s="952"/>
      <c r="UPV49" s="952"/>
      <c r="UPW49" s="952"/>
      <c r="UPX49" s="952"/>
      <c r="UPY49" s="952"/>
      <c r="UPZ49" s="952"/>
      <c r="UQA49" s="952"/>
      <c r="UQB49" s="952"/>
      <c r="UQC49" s="952"/>
      <c r="UQD49" s="952"/>
      <c r="UQE49" s="952"/>
      <c r="UQF49" s="952"/>
      <c r="UQG49" s="952"/>
      <c r="UQH49" s="952"/>
      <c r="UQI49" s="952"/>
      <c r="UQJ49" s="952"/>
      <c r="UQK49" s="952"/>
      <c r="UQL49" s="952"/>
      <c r="UQM49" s="952"/>
      <c r="UQN49" s="952"/>
      <c r="UQO49" s="952"/>
      <c r="UQP49" s="952"/>
      <c r="UQQ49" s="952"/>
      <c r="UQR49" s="952"/>
      <c r="UQS49" s="952"/>
      <c r="UQT49" s="952"/>
      <c r="UQU49" s="952"/>
      <c r="UQV49" s="952"/>
      <c r="UQW49" s="952"/>
      <c r="UQX49" s="952"/>
      <c r="UQY49" s="952"/>
      <c r="UQZ49" s="952"/>
      <c r="URA49" s="952"/>
      <c r="URB49" s="952"/>
      <c r="URC49" s="952"/>
      <c r="URD49" s="952"/>
      <c r="URE49" s="952"/>
      <c r="URF49" s="952"/>
      <c r="URG49" s="952"/>
      <c r="URH49" s="952"/>
      <c r="URI49" s="952"/>
      <c r="URJ49" s="952"/>
      <c r="URK49" s="952"/>
      <c r="URL49" s="952"/>
      <c r="URM49" s="952"/>
      <c r="URN49" s="952"/>
      <c r="URO49" s="952"/>
      <c r="URP49" s="952"/>
      <c r="URQ49" s="952"/>
      <c r="URR49" s="952"/>
      <c r="URS49" s="952"/>
      <c r="URT49" s="952"/>
      <c r="URU49" s="952"/>
      <c r="URV49" s="952"/>
      <c r="URW49" s="952"/>
      <c r="URX49" s="952"/>
      <c r="URY49" s="952"/>
      <c r="URZ49" s="952"/>
      <c r="USA49" s="952"/>
      <c r="USB49" s="952"/>
      <c r="USC49" s="952"/>
      <c r="USD49" s="952"/>
      <c r="USE49" s="952"/>
      <c r="USF49" s="952"/>
      <c r="USG49" s="952"/>
      <c r="USH49" s="952"/>
      <c r="USI49" s="952"/>
      <c r="USJ49" s="952"/>
      <c r="USK49" s="952"/>
      <c r="USL49" s="952"/>
      <c r="USM49" s="952"/>
      <c r="USN49" s="952"/>
      <c r="USO49" s="952"/>
      <c r="USP49" s="952"/>
      <c r="USQ49" s="952"/>
      <c r="USR49" s="952"/>
      <c r="USS49" s="952"/>
      <c r="UST49" s="952"/>
      <c r="USU49" s="952"/>
      <c r="USV49" s="952"/>
      <c r="USW49" s="952"/>
      <c r="USX49" s="952"/>
      <c r="USY49" s="952"/>
      <c r="USZ49" s="952"/>
      <c r="UTA49" s="952"/>
      <c r="UTB49" s="952"/>
      <c r="UTC49" s="952"/>
      <c r="UTD49" s="952"/>
      <c r="UTE49" s="952"/>
      <c r="UTF49" s="952"/>
      <c r="UTG49" s="952"/>
      <c r="UTH49" s="952"/>
      <c r="UTI49" s="952"/>
      <c r="UTJ49" s="952"/>
      <c r="UTK49" s="952"/>
      <c r="UTL49" s="952"/>
      <c r="UTM49" s="952"/>
      <c r="UTN49" s="952"/>
      <c r="UTO49" s="952"/>
      <c r="UTP49" s="952"/>
      <c r="UTQ49" s="952"/>
      <c r="UTR49" s="952"/>
      <c r="UTS49" s="952"/>
      <c r="UTT49" s="952"/>
      <c r="UTU49" s="952"/>
      <c r="UTV49" s="952"/>
      <c r="UTW49" s="952"/>
      <c r="UTX49" s="952"/>
      <c r="UTY49" s="952"/>
      <c r="UTZ49" s="952"/>
      <c r="UUA49" s="952"/>
      <c r="UUB49" s="952"/>
      <c r="UUC49" s="952"/>
      <c r="UUD49" s="952"/>
      <c r="UUE49" s="952"/>
      <c r="UUF49" s="952"/>
      <c r="UUG49" s="952"/>
      <c r="UUH49" s="952"/>
      <c r="UUI49" s="952"/>
      <c r="UUJ49" s="952"/>
      <c r="UUK49" s="952"/>
      <c r="UUL49" s="952"/>
      <c r="UUM49" s="952"/>
      <c r="UUN49" s="952"/>
      <c r="UUO49" s="952"/>
      <c r="UUP49" s="952"/>
      <c r="UUQ49" s="952"/>
      <c r="UUR49" s="952"/>
      <c r="UUS49" s="952"/>
      <c r="UUT49" s="952"/>
      <c r="UUU49" s="952"/>
      <c r="UUV49" s="952"/>
      <c r="UUW49" s="952"/>
      <c r="UUX49" s="952"/>
      <c r="UUY49" s="952"/>
      <c r="UUZ49" s="952"/>
      <c r="UVA49" s="952"/>
      <c r="UVB49" s="952"/>
      <c r="UVC49" s="952"/>
      <c r="UVD49" s="952"/>
      <c r="UVE49" s="952"/>
      <c r="UVF49" s="952"/>
      <c r="UVG49" s="952"/>
      <c r="UVH49" s="952"/>
      <c r="UVI49" s="952"/>
      <c r="UVJ49" s="952"/>
      <c r="UVK49" s="952"/>
      <c r="UVL49" s="952"/>
      <c r="UVM49" s="952"/>
      <c r="UVN49" s="952"/>
      <c r="UVO49" s="952"/>
      <c r="UVP49" s="952"/>
      <c r="UVQ49" s="952"/>
      <c r="UVR49" s="952"/>
      <c r="UVS49" s="952"/>
      <c r="UVT49" s="952"/>
      <c r="UVU49" s="952"/>
      <c r="UVV49" s="952"/>
      <c r="UVW49" s="952"/>
      <c r="UVX49" s="952"/>
      <c r="UVY49" s="952"/>
      <c r="UVZ49" s="952"/>
      <c r="UWA49" s="952"/>
      <c r="UWB49" s="952"/>
      <c r="UWC49" s="952"/>
      <c r="UWD49" s="952"/>
      <c r="UWE49" s="952"/>
      <c r="UWF49" s="952"/>
      <c r="UWG49" s="952"/>
      <c r="UWH49" s="952"/>
      <c r="UWI49" s="952"/>
      <c r="UWJ49" s="952"/>
      <c r="UWK49" s="952"/>
      <c r="UWL49" s="952"/>
      <c r="UWM49" s="952"/>
      <c r="UWN49" s="952"/>
      <c r="UWO49" s="952"/>
      <c r="UWP49" s="952"/>
      <c r="UWQ49" s="952"/>
      <c r="UWR49" s="952"/>
      <c r="UWS49" s="952"/>
      <c r="UWT49" s="952"/>
      <c r="UWU49" s="952"/>
      <c r="UWV49" s="952"/>
      <c r="UWW49" s="952"/>
      <c r="UWX49" s="952"/>
      <c r="UWY49" s="952"/>
      <c r="UWZ49" s="952"/>
      <c r="UXA49" s="952"/>
      <c r="UXB49" s="952"/>
      <c r="UXC49" s="952"/>
      <c r="UXD49" s="952"/>
      <c r="UXE49" s="952"/>
      <c r="UXF49" s="952"/>
      <c r="UXG49" s="952"/>
      <c r="UXH49" s="952"/>
      <c r="UXI49" s="952"/>
      <c r="UXJ49" s="952"/>
      <c r="UXK49" s="952"/>
      <c r="UXL49" s="952"/>
      <c r="UXM49" s="952"/>
      <c r="UXN49" s="952"/>
      <c r="UXO49" s="952"/>
      <c r="UXP49" s="952"/>
      <c r="UXQ49" s="952"/>
      <c r="UXR49" s="952"/>
      <c r="UXS49" s="952"/>
      <c r="UXT49" s="952"/>
      <c r="UXU49" s="952"/>
      <c r="UXV49" s="952"/>
      <c r="UXW49" s="952"/>
      <c r="UXX49" s="952"/>
      <c r="UXY49" s="952"/>
      <c r="UXZ49" s="952"/>
      <c r="UYA49" s="952"/>
      <c r="UYB49" s="952"/>
      <c r="UYC49" s="952"/>
      <c r="UYD49" s="952"/>
      <c r="UYE49" s="952"/>
      <c r="UYF49" s="952"/>
      <c r="UYG49" s="952"/>
      <c r="UYH49" s="952"/>
      <c r="UYI49" s="952"/>
      <c r="UYJ49" s="952"/>
      <c r="UYK49" s="952"/>
      <c r="UYL49" s="952"/>
      <c r="UYM49" s="952"/>
      <c r="UYN49" s="952"/>
      <c r="UYO49" s="952"/>
      <c r="UYP49" s="952"/>
      <c r="UYQ49" s="952"/>
      <c r="UYR49" s="952"/>
      <c r="UYS49" s="952"/>
      <c r="UYT49" s="952"/>
      <c r="UYU49" s="952"/>
      <c r="UYV49" s="952"/>
      <c r="UYW49" s="952"/>
      <c r="UYX49" s="952"/>
      <c r="UYY49" s="952"/>
      <c r="UYZ49" s="952"/>
      <c r="UZA49" s="952"/>
      <c r="UZB49" s="952"/>
      <c r="UZC49" s="952"/>
      <c r="UZD49" s="952"/>
      <c r="UZE49" s="952"/>
      <c r="UZF49" s="952"/>
      <c r="UZG49" s="952"/>
      <c r="UZH49" s="952"/>
      <c r="UZI49" s="952"/>
      <c r="UZJ49" s="952"/>
      <c r="UZK49" s="952"/>
      <c r="UZL49" s="952"/>
      <c r="UZM49" s="952"/>
      <c r="UZN49" s="952"/>
      <c r="UZO49" s="952"/>
      <c r="UZP49" s="952"/>
      <c r="UZQ49" s="952"/>
      <c r="UZR49" s="952"/>
      <c r="UZS49" s="952"/>
      <c r="UZT49" s="952"/>
      <c r="UZU49" s="952"/>
      <c r="UZV49" s="952"/>
      <c r="UZW49" s="952"/>
      <c r="UZX49" s="952"/>
      <c r="UZY49" s="952"/>
      <c r="UZZ49" s="952"/>
      <c r="VAA49" s="952"/>
      <c r="VAB49" s="952"/>
      <c r="VAC49" s="952"/>
      <c r="VAD49" s="952"/>
      <c r="VAE49" s="952"/>
      <c r="VAF49" s="952"/>
      <c r="VAG49" s="952"/>
      <c r="VAH49" s="952"/>
      <c r="VAI49" s="952"/>
      <c r="VAJ49" s="952"/>
      <c r="VAK49" s="952"/>
      <c r="VAL49" s="952"/>
      <c r="VAM49" s="952"/>
      <c r="VAN49" s="952"/>
      <c r="VAO49" s="952"/>
      <c r="VAP49" s="952"/>
      <c r="VAQ49" s="952"/>
      <c r="VAR49" s="952"/>
      <c r="VAS49" s="952"/>
      <c r="VAT49" s="952"/>
      <c r="VAU49" s="952"/>
      <c r="VAV49" s="952"/>
      <c r="VAW49" s="952"/>
      <c r="VAX49" s="952"/>
      <c r="VAY49" s="952"/>
      <c r="VAZ49" s="952"/>
      <c r="VBA49" s="952"/>
      <c r="VBB49" s="952"/>
      <c r="VBC49" s="952"/>
      <c r="VBD49" s="952"/>
      <c r="VBE49" s="952"/>
      <c r="VBF49" s="952"/>
      <c r="VBG49" s="952"/>
      <c r="VBH49" s="952"/>
      <c r="VBI49" s="952"/>
      <c r="VBJ49" s="952"/>
      <c r="VBK49" s="952"/>
      <c r="VBL49" s="952"/>
      <c r="VBM49" s="952"/>
      <c r="VBN49" s="952"/>
      <c r="VBO49" s="952"/>
      <c r="VBP49" s="952"/>
      <c r="VBQ49" s="952"/>
      <c r="VBR49" s="952"/>
      <c r="VBS49" s="952"/>
      <c r="VBT49" s="952"/>
      <c r="VBU49" s="952"/>
      <c r="VBV49" s="952"/>
      <c r="VBW49" s="952"/>
      <c r="VBX49" s="952"/>
      <c r="VBY49" s="952"/>
      <c r="VBZ49" s="952"/>
      <c r="VCA49" s="952"/>
      <c r="VCB49" s="952"/>
      <c r="VCC49" s="952"/>
      <c r="VCD49" s="952"/>
      <c r="VCE49" s="952"/>
      <c r="VCF49" s="952"/>
      <c r="VCG49" s="952"/>
      <c r="VCH49" s="952"/>
      <c r="VCI49" s="952"/>
      <c r="VCJ49" s="952"/>
      <c r="VCK49" s="952"/>
      <c r="VCL49" s="952"/>
      <c r="VCM49" s="952"/>
      <c r="VCN49" s="952"/>
      <c r="VCO49" s="952"/>
      <c r="VCP49" s="952"/>
      <c r="VCQ49" s="952"/>
      <c r="VCR49" s="952"/>
      <c r="VCS49" s="952"/>
      <c r="VCT49" s="952"/>
      <c r="VCU49" s="952"/>
      <c r="VCV49" s="952"/>
      <c r="VCW49" s="952"/>
      <c r="VCX49" s="952"/>
      <c r="VCY49" s="952"/>
      <c r="VCZ49" s="952"/>
      <c r="VDA49" s="952"/>
      <c r="VDB49" s="952"/>
      <c r="VDC49" s="952"/>
      <c r="VDD49" s="952"/>
      <c r="VDE49" s="952"/>
      <c r="VDF49" s="952"/>
      <c r="VDG49" s="952"/>
      <c r="VDH49" s="952"/>
      <c r="VDI49" s="952"/>
      <c r="VDJ49" s="952"/>
      <c r="VDK49" s="952"/>
      <c r="VDL49" s="952"/>
      <c r="VDM49" s="952"/>
      <c r="VDN49" s="952"/>
      <c r="VDO49" s="952"/>
      <c r="VDP49" s="952"/>
      <c r="VDQ49" s="952"/>
      <c r="VDR49" s="952"/>
      <c r="VDS49" s="952"/>
      <c r="VDT49" s="952"/>
      <c r="VDU49" s="952"/>
      <c r="VDV49" s="952"/>
      <c r="VDW49" s="952"/>
      <c r="VDX49" s="952"/>
      <c r="VDY49" s="952"/>
      <c r="VDZ49" s="952"/>
      <c r="VEA49" s="952"/>
      <c r="VEB49" s="952"/>
      <c r="VEC49" s="952"/>
      <c r="VED49" s="952"/>
      <c r="VEE49" s="952"/>
      <c r="VEF49" s="952"/>
      <c r="VEG49" s="952"/>
      <c r="VEH49" s="952"/>
      <c r="VEI49" s="952"/>
      <c r="VEJ49" s="952"/>
      <c r="VEK49" s="952"/>
      <c r="VEL49" s="952"/>
      <c r="VEM49" s="952"/>
      <c r="VEN49" s="952"/>
      <c r="VEO49" s="952"/>
      <c r="VEP49" s="952"/>
      <c r="VEQ49" s="952"/>
      <c r="VER49" s="952"/>
      <c r="VES49" s="952"/>
      <c r="VET49" s="952"/>
      <c r="VEU49" s="952"/>
      <c r="VEV49" s="952"/>
      <c r="VEW49" s="952"/>
      <c r="VEX49" s="952"/>
      <c r="VEY49" s="952"/>
      <c r="VEZ49" s="952"/>
      <c r="VFA49" s="952"/>
      <c r="VFB49" s="952"/>
      <c r="VFC49" s="952"/>
      <c r="VFD49" s="952"/>
      <c r="VFE49" s="952"/>
      <c r="VFF49" s="952"/>
      <c r="VFG49" s="952"/>
      <c r="VFH49" s="952"/>
      <c r="VFI49" s="952"/>
      <c r="VFJ49" s="952"/>
      <c r="VFK49" s="952"/>
      <c r="VFL49" s="952"/>
      <c r="VFM49" s="952"/>
      <c r="VFN49" s="952"/>
      <c r="VFO49" s="952"/>
      <c r="VFP49" s="952"/>
      <c r="VFQ49" s="952"/>
      <c r="VFR49" s="952"/>
      <c r="VFS49" s="952"/>
      <c r="VFT49" s="952"/>
      <c r="VFU49" s="952"/>
      <c r="VFV49" s="952"/>
      <c r="VFW49" s="952"/>
      <c r="VFX49" s="952"/>
      <c r="VFY49" s="952"/>
      <c r="VFZ49" s="952"/>
      <c r="VGA49" s="952"/>
      <c r="VGB49" s="952"/>
      <c r="VGC49" s="952"/>
      <c r="VGD49" s="952"/>
      <c r="VGE49" s="952"/>
      <c r="VGF49" s="952"/>
      <c r="VGG49" s="952"/>
      <c r="VGH49" s="952"/>
      <c r="VGI49" s="952"/>
      <c r="VGJ49" s="952"/>
      <c r="VGK49" s="952"/>
      <c r="VGL49" s="952"/>
      <c r="VGM49" s="952"/>
      <c r="VGN49" s="952"/>
      <c r="VGO49" s="952"/>
      <c r="VGP49" s="952"/>
      <c r="VGQ49" s="952"/>
      <c r="VGR49" s="952"/>
      <c r="VGS49" s="952"/>
      <c r="VGT49" s="952"/>
      <c r="VGU49" s="952"/>
      <c r="VGV49" s="952"/>
      <c r="VGW49" s="952"/>
      <c r="VGX49" s="952"/>
      <c r="VGY49" s="952"/>
      <c r="VGZ49" s="952"/>
      <c r="VHA49" s="952"/>
      <c r="VHB49" s="952"/>
      <c r="VHC49" s="952"/>
      <c r="VHD49" s="952"/>
      <c r="VHE49" s="952"/>
      <c r="VHF49" s="952"/>
      <c r="VHG49" s="952"/>
      <c r="VHH49" s="952"/>
      <c r="VHI49" s="952"/>
      <c r="VHJ49" s="952"/>
      <c r="VHK49" s="952"/>
      <c r="VHL49" s="952"/>
      <c r="VHM49" s="952"/>
      <c r="VHN49" s="952"/>
      <c r="VHO49" s="952"/>
      <c r="VHP49" s="952"/>
      <c r="VHQ49" s="952"/>
      <c r="VHR49" s="952"/>
      <c r="VHS49" s="952"/>
      <c r="VHT49" s="952"/>
      <c r="VHU49" s="952"/>
      <c r="VHV49" s="952"/>
      <c r="VHW49" s="952"/>
      <c r="VHX49" s="952"/>
      <c r="VHY49" s="952"/>
      <c r="VHZ49" s="952"/>
      <c r="VIA49" s="952"/>
      <c r="VIB49" s="952"/>
      <c r="VIC49" s="952"/>
      <c r="VID49" s="952"/>
      <c r="VIE49" s="952"/>
      <c r="VIF49" s="952"/>
      <c r="VIG49" s="952"/>
      <c r="VIH49" s="952"/>
      <c r="VII49" s="952"/>
      <c r="VIJ49" s="952"/>
      <c r="VIK49" s="952"/>
      <c r="VIL49" s="952"/>
      <c r="VIM49" s="952"/>
      <c r="VIN49" s="952"/>
      <c r="VIO49" s="952"/>
      <c r="VIP49" s="952"/>
      <c r="VIQ49" s="952"/>
      <c r="VIR49" s="952"/>
      <c r="VIS49" s="952"/>
      <c r="VIT49" s="952"/>
      <c r="VIU49" s="952"/>
      <c r="VIV49" s="952"/>
      <c r="VIW49" s="952"/>
      <c r="VIX49" s="952"/>
      <c r="VIY49" s="952"/>
      <c r="VIZ49" s="952"/>
      <c r="VJA49" s="952"/>
      <c r="VJB49" s="952"/>
      <c r="VJC49" s="952"/>
      <c r="VJD49" s="952"/>
      <c r="VJE49" s="952"/>
      <c r="VJF49" s="952"/>
      <c r="VJG49" s="952"/>
      <c r="VJH49" s="952"/>
      <c r="VJI49" s="952"/>
      <c r="VJJ49" s="952"/>
      <c r="VJK49" s="952"/>
      <c r="VJL49" s="952"/>
      <c r="VJM49" s="952"/>
      <c r="VJN49" s="952"/>
      <c r="VJO49" s="952"/>
      <c r="VJP49" s="952"/>
      <c r="VJQ49" s="952"/>
      <c r="VJR49" s="952"/>
      <c r="VJS49" s="952"/>
      <c r="VJT49" s="952"/>
      <c r="VJU49" s="952"/>
      <c r="VJV49" s="952"/>
      <c r="VJW49" s="952"/>
      <c r="VJX49" s="952"/>
      <c r="VJY49" s="952"/>
      <c r="VJZ49" s="952"/>
      <c r="VKA49" s="952"/>
      <c r="VKB49" s="952"/>
      <c r="VKC49" s="952"/>
      <c r="VKD49" s="952"/>
      <c r="VKE49" s="952"/>
      <c r="VKF49" s="952"/>
      <c r="VKG49" s="952"/>
      <c r="VKH49" s="952"/>
      <c r="VKI49" s="952"/>
      <c r="VKJ49" s="952"/>
      <c r="VKK49" s="952"/>
      <c r="VKL49" s="952"/>
      <c r="VKM49" s="952"/>
      <c r="VKN49" s="952"/>
      <c r="VKO49" s="952"/>
      <c r="VKP49" s="952"/>
      <c r="VKQ49" s="952"/>
      <c r="VKR49" s="952"/>
      <c r="VKS49" s="952"/>
      <c r="VKT49" s="952"/>
      <c r="VKU49" s="952"/>
      <c r="VKV49" s="952"/>
      <c r="VKW49" s="952"/>
      <c r="VKX49" s="952"/>
      <c r="VKY49" s="952"/>
      <c r="VKZ49" s="952"/>
      <c r="VLA49" s="952"/>
      <c r="VLB49" s="952"/>
      <c r="VLC49" s="952"/>
      <c r="VLD49" s="952"/>
      <c r="VLE49" s="952"/>
      <c r="VLF49" s="952"/>
      <c r="VLG49" s="952"/>
      <c r="VLH49" s="952"/>
      <c r="VLI49" s="952"/>
      <c r="VLJ49" s="952"/>
      <c r="VLK49" s="952"/>
      <c r="VLL49" s="952"/>
      <c r="VLM49" s="952"/>
      <c r="VLN49" s="952"/>
      <c r="VLO49" s="952"/>
      <c r="VLP49" s="952"/>
      <c r="VLQ49" s="952"/>
      <c r="VLR49" s="952"/>
      <c r="VLS49" s="952"/>
      <c r="VLT49" s="952"/>
      <c r="VLU49" s="952"/>
      <c r="VLV49" s="952"/>
      <c r="VLW49" s="952"/>
      <c r="VLX49" s="952"/>
      <c r="VLY49" s="952"/>
      <c r="VLZ49" s="952"/>
      <c r="VMA49" s="952"/>
      <c r="VMB49" s="952"/>
      <c r="VMC49" s="952"/>
      <c r="VMD49" s="952"/>
      <c r="VME49" s="952"/>
      <c r="VMF49" s="952"/>
      <c r="VMG49" s="952"/>
      <c r="VMH49" s="952"/>
      <c r="VMI49" s="952"/>
      <c r="VMJ49" s="952"/>
      <c r="VMK49" s="952"/>
      <c r="VML49" s="952"/>
      <c r="VMM49" s="952"/>
      <c r="VMN49" s="952"/>
      <c r="VMO49" s="952"/>
      <c r="VMP49" s="952"/>
      <c r="VMQ49" s="952"/>
      <c r="VMR49" s="952"/>
      <c r="VMS49" s="952"/>
      <c r="VMT49" s="952"/>
      <c r="VMU49" s="952"/>
      <c r="VMV49" s="952"/>
      <c r="VMW49" s="952"/>
      <c r="VMX49" s="952"/>
      <c r="VMY49" s="952"/>
      <c r="VMZ49" s="952"/>
      <c r="VNA49" s="952"/>
      <c r="VNB49" s="952"/>
      <c r="VNC49" s="952"/>
      <c r="VND49" s="952"/>
      <c r="VNE49" s="952"/>
      <c r="VNF49" s="952"/>
      <c r="VNG49" s="952"/>
      <c r="VNH49" s="952"/>
      <c r="VNI49" s="952"/>
      <c r="VNJ49" s="952"/>
      <c r="VNK49" s="952"/>
      <c r="VNL49" s="952"/>
      <c r="VNM49" s="952"/>
      <c r="VNN49" s="952"/>
      <c r="VNO49" s="952"/>
      <c r="VNP49" s="952"/>
      <c r="VNQ49" s="952"/>
      <c r="VNR49" s="952"/>
      <c r="VNS49" s="952"/>
      <c r="VNT49" s="952"/>
      <c r="VNU49" s="952"/>
      <c r="VNV49" s="952"/>
      <c r="VNW49" s="952"/>
      <c r="VNX49" s="952"/>
      <c r="VNY49" s="952"/>
      <c r="VNZ49" s="952"/>
      <c r="VOA49" s="952"/>
      <c r="VOB49" s="952"/>
      <c r="VOC49" s="952"/>
      <c r="VOD49" s="952"/>
      <c r="VOE49" s="952"/>
      <c r="VOF49" s="952"/>
      <c r="VOG49" s="952"/>
      <c r="VOH49" s="952"/>
      <c r="VOI49" s="952"/>
      <c r="VOJ49" s="952"/>
      <c r="VOK49" s="952"/>
      <c r="VOL49" s="952"/>
      <c r="VOM49" s="952"/>
      <c r="VON49" s="952"/>
      <c r="VOO49" s="952"/>
      <c r="VOP49" s="952"/>
      <c r="VOQ49" s="952"/>
      <c r="VOR49" s="952"/>
      <c r="VOS49" s="952"/>
      <c r="VOT49" s="952"/>
      <c r="VOU49" s="952"/>
      <c r="VOV49" s="952"/>
      <c r="VOW49" s="952"/>
      <c r="VOX49" s="952"/>
      <c r="VOY49" s="952"/>
      <c r="VOZ49" s="952"/>
      <c r="VPA49" s="952"/>
      <c r="VPB49" s="952"/>
      <c r="VPC49" s="952"/>
      <c r="VPD49" s="952"/>
      <c r="VPE49" s="952"/>
      <c r="VPF49" s="952"/>
      <c r="VPG49" s="952"/>
      <c r="VPH49" s="952"/>
      <c r="VPI49" s="952"/>
      <c r="VPJ49" s="952"/>
      <c r="VPK49" s="952"/>
      <c r="VPL49" s="952"/>
      <c r="VPM49" s="952"/>
      <c r="VPN49" s="952"/>
      <c r="VPO49" s="952"/>
      <c r="VPP49" s="952"/>
      <c r="VPQ49" s="952"/>
      <c r="VPR49" s="952"/>
      <c r="VPS49" s="952"/>
      <c r="VPT49" s="952"/>
      <c r="VPU49" s="952"/>
      <c r="VPV49" s="952"/>
      <c r="VPW49" s="952"/>
      <c r="VPX49" s="952"/>
      <c r="VPY49" s="952"/>
      <c r="VPZ49" s="952"/>
      <c r="VQA49" s="952"/>
      <c r="VQB49" s="952"/>
      <c r="VQC49" s="952"/>
      <c r="VQD49" s="952"/>
      <c r="VQE49" s="952"/>
      <c r="VQF49" s="952"/>
      <c r="VQG49" s="952"/>
      <c r="VQH49" s="952"/>
      <c r="VQI49" s="952"/>
      <c r="VQJ49" s="952"/>
      <c r="VQK49" s="952"/>
      <c r="VQL49" s="952"/>
      <c r="VQM49" s="952"/>
      <c r="VQN49" s="952"/>
      <c r="VQO49" s="952"/>
      <c r="VQP49" s="952"/>
      <c r="VQQ49" s="952"/>
      <c r="VQR49" s="952"/>
      <c r="VQS49" s="952"/>
      <c r="VQT49" s="952"/>
      <c r="VQU49" s="952"/>
      <c r="VQV49" s="952"/>
      <c r="VQW49" s="952"/>
      <c r="VQX49" s="952"/>
      <c r="VQY49" s="952"/>
      <c r="VQZ49" s="952"/>
      <c r="VRA49" s="952"/>
      <c r="VRB49" s="952"/>
      <c r="VRC49" s="952"/>
      <c r="VRD49" s="952"/>
      <c r="VRE49" s="952"/>
      <c r="VRF49" s="952"/>
      <c r="VRG49" s="952"/>
      <c r="VRH49" s="952"/>
      <c r="VRI49" s="952"/>
      <c r="VRJ49" s="952"/>
      <c r="VRK49" s="952"/>
      <c r="VRL49" s="952"/>
      <c r="VRM49" s="952"/>
      <c r="VRN49" s="952"/>
      <c r="VRO49" s="952"/>
      <c r="VRP49" s="952"/>
      <c r="VRQ49" s="952"/>
      <c r="VRR49" s="952"/>
      <c r="VRS49" s="952"/>
      <c r="VRT49" s="952"/>
      <c r="VRU49" s="952"/>
      <c r="VRV49" s="952"/>
      <c r="VRW49" s="952"/>
      <c r="VRX49" s="952"/>
      <c r="VRY49" s="952"/>
      <c r="VRZ49" s="952"/>
      <c r="VSA49" s="952"/>
      <c r="VSB49" s="952"/>
      <c r="VSC49" s="952"/>
      <c r="VSD49" s="952"/>
      <c r="VSE49" s="952"/>
      <c r="VSF49" s="952"/>
      <c r="VSG49" s="952"/>
      <c r="VSH49" s="952"/>
      <c r="VSI49" s="952"/>
      <c r="VSJ49" s="952"/>
      <c r="VSK49" s="952"/>
      <c r="VSL49" s="952"/>
      <c r="VSM49" s="952"/>
      <c r="VSN49" s="952"/>
      <c r="VSO49" s="952"/>
      <c r="VSP49" s="952"/>
      <c r="VSQ49" s="952"/>
      <c r="VSR49" s="952"/>
      <c r="VSS49" s="952"/>
      <c r="VST49" s="952"/>
      <c r="VSU49" s="952"/>
      <c r="VSV49" s="952"/>
      <c r="VSW49" s="952"/>
      <c r="VSX49" s="952"/>
      <c r="VSY49" s="952"/>
      <c r="VSZ49" s="952"/>
      <c r="VTA49" s="952"/>
      <c r="VTB49" s="952"/>
      <c r="VTC49" s="952"/>
      <c r="VTD49" s="952"/>
      <c r="VTE49" s="952"/>
      <c r="VTF49" s="952"/>
      <c r="VTG49" s="952"/>
      <c r="VTH49" s="952"/>
      <c r="VTI49" s="952"/>
      <c r="VTJ49" s="952"/>
      <c r="VTK49" s="952"/>
      <c r="VTL49" s="952"/>
      <c r="VTM49" s="952"/>
      <c r="VTN49" s="952"/>
      <c r="VTO49" s="952"/>
      <c r="VTP49" s="952"/>
      <c r="VTQ49" s="952"/>
      <c r="VTR49" s="952"/>
      <c r="VTS49" s="952"/>
      <c r="VTT49" s="952"/>
      <c r="VTU49" s="952"/>
      <c r="VTV49" s="952"/>
      <c r="VTW49" s="952"/>
      <c r="VTX49" s="952"/>
      <c r="VTY49" s="952"/>
      <c r="VTZ49" s="952"/>
      <c r="VUA49" s="952"/>
      <c r="VUB49" s="952"/>
      <c r="VUC49" s="952"/>
      <c r="VUD49" s="952"/>
      <c r="VUE49" s="952"/>
      <c r="VUF49" s="952"/>
      <c r="VUG49" s="952"/>
      <c r="VUH49" s="952"/>
      <c r="VUI49" s="952"/>
      <c r="VUJ49" s="952"/>
      <c r="VUK49" s="952"/>
      <c r="VUL49" s="952"/>
      <c r="VUM49" s="952"/>
      <c r="VUN49" s="952"/>
      <c r="VUO49" s="952"/>
      <c r="VUP49" s="952"/>
      <c r="VUQ49" s="952"/>
      <c r="VUR49" s="952"/>
      <c r="VUS49" s="952"/>
      <c r="VUT49" s="952"/>
      <c r="VUU49" s="952"/>
      <c r="VUV49" s="952"/>
      <c r="VUW49" s="952"/>
      <c r="VUX49" s="952"/>
      <c r="VUY49" s="952"/>
      <c r="VUZ49" s="952"/>
      <c r="VVA49" s="952"/>
      <c r="VVB49" s="952"/>
      <c r="VVC49" s="952"/>
      <c r="VVD49" s="952"/>
      <c r="VVE49" s="952"/>
      <c r="VVF49" s="952"/>
      <c r="VVG49" s="952"/>
      <c r="VVH49" s="952"/>
      <c r="VVI49" s="952"/>
      <c r="VVJ49" s="952"/>
      <c r="VVK49" s="952"/>
      <c r="VVL49" s="952"/>
      <c r="VVM49" s="952"/>
      <c r="VVN49" s="952"/>
      <c r="VVO49" s="952"/>
      <c r="VVP49" s="952"/>
      <c r="VVQ49" s="952"/>
      <c r="VVR49" s="952"/>
      <c r="VVS49" s="952"/>
      <c r="VVT49" s="952"/>
      <c r="VVU49" s="952"/>
      <c r="VVV49" s="952"/>
      <c r="VVW49" s="952"/>
      <c r="VVX49" s="952"/>
      <c r="VVY49" s="952"/>
      <c r="VVZ49" s="952"/>
      <c r="VWA49" s="952"/>
      <c r="VWB49" s="952"/>
      <c r="VWC49" s="952"/>
      <c r="VWD49" s="952"/>
      <c r="VWE49" s="952"/>
      <c r="VWF49" s="952"/>
      <c r="VWG49" s="952"/>
      <c r="VWH49" s="952"/>
      <c r="VWI49" s="952"/>
      <c r="VWJ49" s="952"/>
      <c r="VWK49" s="952"/>
      <c r="VWL49" s="952"/>
      <c r="VWM49" s="952"/>
      <c r="VWN49" s="952"/>
      <c r="VWO49" s="952"/>
      <c r="VWP49" s="952"/>
      <c r="VWQ49" s="952"/>
      <c r="VWR49" s="952"/>
      <c r="VWS49" s="952"/>
      <c r="VWT49" s="952"/>
      <c r="VWU49" s="952"/>
      <c r="VWV49" s="952"/>
      <c r="VWW49" s="952"/>
      <c r="VWX49" s="952"/>
      <c r="VWY49" s="952"/>
      <c r="VWZ49" s="952"/>
      <c r="VXA49" s="952"/>
      <c r="VXB49" s="952"/>
      <c r="VXC49" s="952"/>
      <c r="VXD49" s="952"/>
      <c r="VXE49" s="952"/>
      <c r="VXF49" s="952"/>
      <c r="VXG49" s="952"/>
      <c r="VXH49" s="952"/>
      <c r="VXI49" s="952"/>
      <c r="VXJ49" s="952"/>
      <c r="VXK49" s="952"/>
      <c r="VXL49" s="952"/>
      <c r="VXM49" s="952"/>
      <c r="VXN49" s="952"/>
      <c r="VXO49" s="952"/>
      <c r="VXP49" s="952"/>
      <c r="VXQ49" s="952"/>
      <c r="VXR49" s="952"/>
      <c r="VXS49" s="952"/>
      <c r="VXT49" s="952"/>
      <c r="VXU49" s="952"/>
      <c r="VXV49" s="952"/>
      <c r="VXW49" s="952"/>
      <c r="VXX49" s="952"/>
      <c r="VXY49" s="952"/>
      <c r="VXZ49" s="952"/>
      <c r="VYA49" s="952"/>
      <c r="VYB49" s="952"/>
      <c r="VYC49" s="952"/>
      <c r="VYD49" s="952"/>
      <c r="VYE49" s="952"/>
      <c r="VYF49" s="952"/>
      <c r="VYG49" s="952"/>
      <c r="VYH49" s="952"/>
      <c r="VYI49" s="952"/>
      <c r="VYJ49" s="952"/>
      <c r="VYK49" s="952"/>
      <c r="VYL49" s="952"/>
      <c r="VYM49" s="952"/>
      <c r="VYN49" s="952"/>
      <c r="VYO49" s="952"/>
      <c r="VYP49" s="952"/>
      <c r="VYQ49" s="952"/>
      <c r="VYR49" s="952"/>
      <c r="VYS49" s="952"/>
      <c r="VYT49" s="952"/>
      <c r="VYU49" s="952"/>
      <c r="VYV49" s="952"/>
      <c r="VYW49" s="952"/>
      <c r="VYX49" s="952"/>
      <c r="VYY49" s="952"/>
      <c r="VYZ49" s="952"/>
      <c r="VZA49" s="952"/>
      <c r="VZB49" s="952"/>
      <c r="VZC49" s="952"/>
      <c r="VZD49" s="952"/>
      <c r="VZE49" s="952"/>
      <c r="VZF49" s="952"/>
      <c r="VZG49" s="952"/>
      <c r="VZH49" s="952"/>
      <c r="VZI49" s="952"/>
      <c r="VZJ49" s="952"/>
      <c r="VZK49" s="952"/>
      <c r="VZL49" s="952"/>
      <c r="VZM49" s="952"/>
      <c r="VZN49" s="952"/>
      <c r="VZO49" s="952"/>
      <c r="VZP49" s="952"/>
      <c r="VZQ49" s="952"/>
      <c r="VZR49" s="952"/>
      <c r="VZS49" s="952"/>
      <c r="VZT49" s="952"/>
      <c r="VZU49" s="952"/>
      <c r="VZV49" s="952"/>
      <c r="VZW49" s="952"/>
      <c r="VZX49" s="952"/>
      <c r="VZY49" s="952"/>
      <c r="VZZ49" s="952"/>
      <c r="WAA49" s="952"/>
      <c r="WAB49" s="952"/>
      <c r="WAC49" s="952"/>
      <c r="WAD49" s="952"/>
      <c r="WAE49" s="952"/>
      <c r="WAF49" s="952"/>
      <c r="WAG49" s="952"/>
      <c r="WAH49" s="952"/>
      <c r="WAI49" s="952"/>
      <c r="WAJ49" s="952"/>
      <c r="WAK49" s="952"/>
      <c r="WAL49" s="952"/>
      <c r="WAM49" s="952"/>
      <c r="WAN49" s="952"/>
      <c r="WAO49" s="952"/>
      <c r="WAP49" s="952"/>
      <c r="WAQ49" s="952"/>
      <c r="WAR49" s="952"/>
      <c r="WAS49" s="952"/>
      <c r="WAT49" s="952"/>
      <c r="WAU49" s="952"/>
      <c r="WAV49" s="952"/>
      <c r="WAW49" s="952"/>
      <c r="WAX49" s="952"/>
      <c r="WAY49" s="952"/>
      <c r="WAZ49" s="952"/>
      <c r="WBA49" s="952"/>
      <c r="WBB49" s="952"/>
      <c r="WBC49" s="952"/>
      <c r="WBD49" s="952"/>
      <c r="WBE49" s="952"/>
      <c r="WBF49" s="952"/>
      <c r="WBG49" s="952"/>
      <c r="WBH49" s="952"/>
      <c r="WBI49" s="952"/>
      <c r="WBJ49" s="952"/>
      <c r="WBK49" s="952"/>
      <c r="WBL49" s="952"/>
      <c r="WBM49" s="952"/>
      <c r="WBN49" s="952"/>
      <c r="WBO49" s="952"/>
      <c r="WBP49" s="952"/>
      <c r="WBQ49" s="952"/>
      <c r="WBR49" s="952"/>
      <c r="WBS49" s="952"/>
      <c r="WBT49" s="952"/>
      <c r="WBU49" s="952"/>
      <c r="WBV49" s="952"/>
      <c r="WBW49" s="952"/>
      <c r="WBX49" s="952"/>
      <c r="WBY49" s="952"/>
      <c r="WBZ49" s="952"/>
      <c r="WCA49" s="952"/>
      <c r="WCB49" s="952"/>
      <c r="WCC49" s="952"/>
      <c r="WCD49" s="952"/>
      <c r="WCE49" s="952"/>
      <c r="WCF49" s="952"/>
      <c r="WCG49" s="952"/>
      <c r="WCH49" s="952"/>
      <c r="WCI49" s="952"/>
      <c r="WCJ49" s="952"/>
      <c r="WCK49" s="952"/>
      <c r="WCL49" s="952"/>
      <c r="WCM49" s="952"/>
      <c r="WCN49" s="952"/>
      <c r="WCO49" s="952"/>
      <c r="WCP49" s="952"/>
      <c r="WCQ49" s="952"/>
      <c r="WCR49" s="952"/>
      <c r="WCS49" s="952"/>
      <c r="WCT49" s="952"/>
      <c r="WCU49" s="952"/>
      <c r="WCV49" s="952"/>
      <c r="WCW49" s="952"/>
      <c r="WCX49" s="952"/>
      <c r="WCY49" s="952"/>
      <c r="WCZ49" s="952"/>
      <c r="WDA49" s="952"/>
      <c r="WDB49" s="952"/>
      <c r="WDC49" s="952"/>
      <c r="WDD49" s="952"/>
      <c r="WDE49" s="952"/>
      <c r="WDF49" s="952"/>
      <c r="WDG49" s="952"/>
      <c r="WDH49" s="952"/>
      <c r="WDI49" s="952"/>
      <c r="WDJ49" s="952"/>
      <c r="WDK49" s="952"/>
      <c r="WDL49" s="952"/>
      <c r="WDM49" s="952"/>
      <c r="WDN49" s="952"/>
      <c r="WDO49" s="952"/>
      <c r="WDP49" s="952"/>
      <c r="WDQ49" s="952"/>
      <c r="WDR49" s="952"/>
      <c r="WDS49" s="952"/>
      <c r="WDT49" s="952"/>
      <c r="WDU49" s="952"/>
      <c r="WDV49" s="952"/>
      <c r="WDW49" s="952"/>
      <c r="WDX49" s="952"/>
      <c r="WDY49" s="952"/>
      <c r="WDZ49" s="952"/>
      <c r="WEA49" s="952"/>
      <c r="WEB49" s="952"/>
      <c r="WEC49" s="952"/>
      <c r="WED49" s="952"/>
      <c r="WEE49" s="952"/>
      <c r="WEF49" s="952"/>
      <c r="WEG49" s="952"/>
      <c r="WEH49" s="952"/>
      <c r="WEI49" s="952"/>
      <c r="WEJ49" s="952"/>
      <c r="WEK49" s="952"/>
      <c r="WEL49" s="952"/>
      <c r="WEM49" s="952"/>
      <c r="WEN49" s="952"/>
      <c r="WEO49" s="952"/>
      <c r="WEP49" s="952"/>
      <c r="WEQ49" s="952"/>
      <c r="WER49" s="952"/>
      <c r="WES49" s="952"/>
      <c r="WET49" s="952"/>
      <c r="WEU49" s="952"/>
      <c r="WEV49" s="952"/>
      <c r="WEW49" s="952"/>
      <c r="WEX49" s="952"/>
      <c r="WEY49" s="952"/>
      <c r="WEZ49" s="952"/>
      <c r="WFA49" s="952"/>
      <c r="WFB49" s="952"/>
      <c r="WFC49" s="952"/>
      <c r="WFD49" s="952"/>
      <c r="WFE49" s="952"/>
      <c r="WFF49" s="952"/>
      <c r="WFG49" s="952"/>
      <c r="WFH49" s="952"/>
      <c r="WFI49" s="952"/>
      <c r="WFJ49" s="952"/>
      <c r="WFK49" s="952"/>
      <c r="WFL49" s="952"/>
      <c r="WFM49" s="952"/>
      <c r="WFN49" s="952"/>
      <c r="WFO49" s="952"/>
      <c r="WFP49" s="952"/>
      <c r="WFQ49" s="952"/>
      <c r="WFR49" s="952"/>
      <c r="WFS49" s="952"/>
      <c r="WFT49" s="952"/>
      <c r="WFU49" s="952"/>
      <c r="WFV49" s="952"/>
      <c r="WFW49" s="952"/>
      <c r="WFX49" s="952"/>
      <c r="WFY49" s="952"/>
      <c r="WFZ49" s="952"/>
      <c r="WGA49" s="952"/>
      <c r="WGB49" s="952"/>
      <c r="WGC49" s="952"/>
      <c r="WGD49" s="952"/>
      <c r="WGE49" s="952"/>
      <c r="WGF49" s="952"/>
      <c r="WGG49" s="952"/>
      <c r="WGH49" s="952"/>
      <c r="WGI49" s="952"/>
      <c r="WGJ49" s="952"/>
      <c r="WGK49" s="952"/>
      <c r="WGL49" s="952"/>
      <c r="WGM49" s="952"/>
      <c r="WGN49" s="952"/>
      <c r="WGO49" s="952"/>
      <c r="WGP49" s="952"/>
      <c r="WGQ49" s="952"/>
      <c r="WGR49" s="952"/>
      <c r="WGS49" s="952"/>
      <c r="WGT49" s="952"/>
      <c r="WGU49" s="952"/>
      <c r="WGV49" s="952"/>
      <c r="WGW49" s="952"/>
      <c r="WGX49" s="952"/>
      <c r="WGY49" s="952"/>
      <c r="WGZ49" s="952"/>
      <c r="WHA49" s="952"/>
      <c r="WHB49" s="952"/>
      <c r="WHC49" s="952"/>
      <c r="WHD49" s="952"/>
      <c r="WHE49" s="952"/>
      <c r="WHF49" s="952"/>
      <c r="WHG49" s="952"/>
      <c r="WHH49" s="952"/>
      <c r="WHI49" s="952"/>
      <c r="WHJ49" s="952"/>
      <c r="WHK49" s="952"/>
      <c r="WHL49" s="952"/>
      <c r="WHM49" s="952"/>
      <c r="WHN49" s="952"/>
      <c r="WHO49" s="952"/>
      <c r="WHP49" s="952"/>
      <c r="WHQ49" s="952"/>
      <c r="WHR49" s="952"/>
      <c r="WHS49" s="952"/>
      <c r="WHT49" s="952"/>
      <c r="WHU49" s="952"/>
      <c r="WHV49" s="952"/>
      <c r="WHW49" s="952"/>
      <c r="WHX49" s="952"/>
      <c r="WHY49" s="952"/>
      <c r="WHZ49" s="952"/>
      <c r="WIA49" s="952"/>
      <c r="WIB49" s="952"/>
      <c r="WIC49" s="952"/>
      <c r="WID49" s="952"/>
      <c r="WIE49" s="952"/>
      <c r="WIF49" s="952"/>
      <c r="WIG49" s="952"/>
      <c r="WIH49" s="952"/>
      <c r="WII49" s="952"/>
      <c r="WIJ49" s="952"/>
      <c r="WIK49" s="952"/>
      <c r="WIL49" s="952"/>
      <c r="WIM49" s="952"/>
      <c r="WIN49" s="952"/>
      <c r="WIO49" s="952"/>
      <c r="WIP49" s="952"/>
      <c r="WIQ49" s="952"/>
      <c r="WIR49" s="952"/>
      <c r="WIS49" s="952"/>
      <c r="WIT49" s="952"/>
      <c r="WIU49" s="952"/>
      <c r="WIV49" s="952"/>
      <c r="WIW49" s="952"/>
      <c r="WIX49" s="952"/>
      <c r="WIY49" s="952"/>
      <c r="WIZ49" s="952"/>
      <c r="WJA49" s="952"/>
      <c r="WJB49" s="952"/>
      <c r="WJC49" s="952"/>
      <c r="WJD49" s="952"/>
      <c r="WJE49" s="952"/>
      <c r="WJF49" s="952"/>
      <c r="WJG49" s="952"/>
      <c r="WJH49" s="952"/>
      <c r="WJI49" s="952"/>
      <c r="WJJ49" s="952"/>
      <c r="WJK49" s="952"/>
      <c r="WJL49" s="952"/>
      <c r="WJM49" s="952"/>
      <c r="WJN49" s="952"/>
      <c r="WJO49" s="952"/>
      <c r="WJP49" s="952"/>
      <c r="WJQ49" s="952"/>
      <c r="WJR49" s="952"/>
      <c r="WJS49" s="952"/>
      <c r="WJT49" s="952"/>
      <c r="WJU49" s="952"/>
      <c r="WJV49" s="952"/>
      <c r="WJW49" s="952"/>
      <c r="WJX49" s="952"/>
      <c r="WJY49" s="952"/>
      <c r="WJZ49" s="952"/>
      <c r="WKA49" s="952"/>
      <c r="WKB49" s="952"/>
      <c r="WKC49" s="952"/>
      <c r="WKD49" s="952"/>
      <c r="WKE49" s="952"/>
      <c r="WKF49" s="952"/>
      <c r="WKG49" s="952"/>
      <c r="WKH49" s="952"/>
      <c r="WKI49" s="952"/>
      <c r="WKJ49" s="952"/>
      <c r="WKK49" s="952"/>
      <c r="WKL49" s="952"/>
      <c r="WKM49" s="952"/>
      <c r="WKN49" s="952"/>
      <c r="WKO49" s="952"/>
      <c r="WKP49" s="952"/>
      <c r="WKQ49" s="952"/>
      <c r="WKR49" s="952"/>
      <c r="WKS49" s="952"/>
      <c r="WKT49" s="952"/>
      <c r="WKU49" s="952"/>
      <c r="WKV49" s="952"/>
      <c r="WKW49" s="952"/>
      <c r="WKX49" s="952"/>
      <c r="WKY49" s="952"/>
      <c r="WKZ49" s="952"/>
      <c r="WLA49" s="952"/>
      <c r="WLB49" s="952"/>
      <c r="WLC49" s="952"/>
      <c r="WLD49" s="952"/>
      <c r="WLE49" s="952"/>
      <c r="WLF49" s="952"/>
      <c r="WLG49" s="952"/>
      <c r="WLH49" s="952"/>
      <c r="WLI49" s="952"/>
      <c r="WLJ49" s="952"/>
      <c r="WLK49" s="952"/>
      <c r="WLL49" s="952"/>
      <c r="WLM49" s="952"/>
      <c r="WLN49" s="952"/>
      <c r="WLO49" s="952"/>
      <c r="WLP49" s="952"/>
      <c r="WLQ49" s="952"/>
      <c r="WLR49" s="952"/>
      <c r="WLS49" s="952"/>
      <c r="WLT49" s="952"/>
      <c r="WLU49" s="952"/>
      <c r="WLV49" s="952"/>
      <c r="WLW49" s="952"/>
      <c r="WLX49" s="952"/>
      <c r="WLY49" s="952"/>
      <c r="WLZ49" s="952"/>
      <c r="WMA49" s="952"/>
      <c r="WMB49" s="952"/>
      <c r="WMC49" s="952"/>
      <c r="WMD49" s="952"/>
      <c r="WME49" s="952"/>
      <c r="WMF49" s="952"/>
      <c r="WMG49" s="952"/>
      <c r="WMH49" s="952"/>
      <c r="WMI49" s="952"/>
      <c r="WMJ49" s="952"/>
      <c r="WMK49" s="952"/>
      <c r="WML49" s="952"/>
      <c r="WMM49" s="952"/>
      <c r="WMN49" s="952"/>
      <c r="WMO49" s="952"/>
      <c r="WMP49" s="952"/>
      <c r="WMQ49" s="952"/>
      <c r="WMR49" s="952"/>
      <c r="WMS49" s="952"/>
      <c r="WMT49" s="952"/>
      <c r="WMU49" s="952"/>
      <c r="WMV49" s="952"/>
      <c r="WMW49" s="952"/>
      <c r="WMX49" s="952"/>
      <c r="WMY49" s="952"/>
      <c r="WMZ49" s="952"/>
      <c r="WNA49" s="952"/>
      <c r="WNB49" s="952"/>
      <c r="WNC49" s="952"/>
      <c r="WND49" s="952"/>
      <c r="WNE49" s="952"/>
      <c r="WNF49" s="952"/>
      <c r="WNG49" s="952"/>
      <c r="WNH49" s="952"/>
      <c r="WNI49" s="952"/>
      <c r="WNJ49" s="952"/>
      <c r="WNK49" s="952"/>
      <c r="WNL49" s="952"/>
      <c r="WNM49" s="952"/>
      <c r="WNN49" s="952"/>
      <c r="WNO49" s="952"/>
      <c r="WNP49" s="952"/>
      <c r="WNQ49" s="952"/>
      <c r="WNR49" s="952"/>
      <c r="WNS49" s="952"/>
      <c r="WNT49" s="952"/>
      <c r="WNU49" s="952"/>
      <c r="WNV49" s="952"/>
      <c r="WNW49" s="952"/>
      <c r="WNX49" s="952"/>
      <c r="WNY49" s="952"/>
      <c r="WNZ49" s="952"/>
      <c r="WOA49" s="952"/>
      <c r="WOB49" s="952"/>
      <c r="WOC49" s="952"/>
      <c r="WOD49" s="952"/>
      <c r="WOE49" s="952"/>
      <c r="WOF49" s="952"/>
      <c r="WOG49" s="952"/>
      <c r="WOH49" s="952"/>
      <c r="WOI49" s="952"/>
      <c r="WOJ49" s="952"/>
      <c r="WOK49" s="952"/>
      <c r="WOL49" s="952"/>
      <c r="WOM49" s="952"/>
      <c r="WON49" s="952"/>
      <c r="WOO49" s="952"/>
      <c r="WOP49" s="952"/>
      <c r="WOQ49" s="952"/>
      <c r="WOR49" s="952"/>
      <c r="WOS49" s="952"/>
      <c r="WOT49" s="952"/>
      <c r="WOU49" s="952"/>
      <c r="WOV49" s="952"/>
      <c r="WOW49" s="952"/>
      <c r="WOX49" s="952"/>
      <c r="WOY49" s="952"/>
      <c r="WOZ49" s="952"/>
      <c r="WPA49" s="952"/>
      <c r="WPB49" s="952"/>
      <c r="WPC49" s="952"/>
      <c r="WPD49" s="952"/>
      <c r="WPE49" s="952"/>
      <c r="WPF49" s="952"/>
      <c r="WPG49" s="952"/>
      <c r="WPH49" s="952"/>
      <c r="WPI49" s="952"/>
      <c r="WPJ49" s="952"/>
      <c r="WPK49" s="952"/>
      <c r="WPL49" s="952"/>
      <c r="WPM49" s="952"/>
      <c r="WPN49" s="952"/>
      <c r="WPO49" s="952"/>
      <c r="WPP49" s="952"/>
      <c r="WPQ49" s="952"/>
      <c r="WPR49" s="952"/>
      <c r="WPS49" s="952"/>
      <c r="WPT49" s="952"/>
      <c r="WPU49" s="952"/>
      <c r="WPV49" s="952"/>
      <c r="WPW49" s="952"/>
      <c r="WPX49" s="952"/>
      <c r="WPY49" s="952"/>
      <c r="WPZ49" s="952"/>
      <c r="WQA49" s="952"/>
      <c r="WQB49" s="952"/>
      <c r="WQC49" s="952"/>
      <c r="WQD49" s="952"/>
      <c r="WQE49" s="952"/>
      <c r="WQF49" s="952"/>
      <c r="WQG49" s="952"/>
      <c r="WQH49" s="952"/>
      <c r="WQI49" s="952"/>
      <c r="WQJ49" s="952"/>
      <c r="WQK49" s="952"/>
      <c r="WQL49" s="952"/>
      <c r="WQM49" s="952"/>
      <c r="WQN49" s="952"/>
      <c r="WQO49" s="952"/>
      <c r="WQP49" s="952"/>
      <c r="WQQ49" s="952"/>
      <c r="WQR49" s="952"/>
      <c r="WQS49" s="952"/>
      <c r="WQT49" s="952"/>
      <c r="WQU49" s="952"/>
      <c r="WQV49" s="952"/>
      <c r="WQW49" s="952"/>
      <c r="WQX49" s="952"/>
      <c r="WQY49" s="952"/>
      <c r="WQZ49" s="952"/>
      <c r="WRA49" s="952"/>
      <c r="WRB49" s="952"/>
      <c r="WRC49" s="952"/>
      <c r="WRD49" s="952"/>
      <c r="WRE49" s="952"/>
      <c r="WRF49" s="952"/>
      <c r="WRG49" s="952"/>
      <c r="WRH49" s="952"/>
      <c r="WRI49" s="952"/>
      <c r="WRJ49" s="952"/>
      <c r="WRK49" s="952"/>
      <c r="WRL49" s="952"/>
      <c r="WRM49" s="952"/>
      <c r="WRN49" s="952"/>
      <c r="WRO49" s="952"/>
      <c r="WRP49" s="952"/>
      <c r="WRQ49" s="952"/>
      <c r="WRR49" s="952"/>
      <c r="WRS49" s="952"/>
      <c r="WRT49" s="952"/>
      <c r="WRU49" s="952"/>
      <c r="WRV49" s="952"/>
      <c r="WRW49" s="952"/>
      <c r="WRX49" s="952"/>
      <c r="WRY49" s="952"/>
      <c r="WRZ49" s="952"/>
      <c r="WSA49" s="952"/>
      <c r="WSB49" s="952"/>
      <c r="WSC49" s="952"/>
      <c r="WSD49" s="952"/>
      <c r="WSE49" s="952"/>
      <c r="WSF49" s="952"/>
      <c r="WSG49" s="952"/>
      <c r="WSH49" s="952"/>
      <c r="WSI49" s="952"/>
      <c r="WSJ49" s="952"/>
      <c r="WSK49" s="952"/>
      <c r="WSL49" s="952"/>
      <c r="WSM49" s="952"/>
      <c r="WSN49" s="952"/>
      <c r="WSO49" s="952"/>
      <c r="WSP49" s="952"/>
      <c r="WSQ49" s="952"/>
      <c r="WSR49" s="952"/>
      <c r="WSS49" s="952"/>
      <c r="WST49" s="952"/>
      <c r="WSU49" s="952"/>
      <c r="WSV49" s="952"/>
      <c r="WSW49" s="952"/>
      <c r="WSX49" s="952"/>
      <c r="WSY49" s="952"/>
      <c r="WSZ49" s="952"/>
      <c r="WTA49" s="952"/>
      <c r="WTB49" s="952"/>
      <c r="WTC49" s="952"/>
      <c r="WTD49" s="952"/>
      <c r="WTE49" s="952"/>
      <c r="WTF49" s="952"/>
      <c r="WTG49" s="952"/>
      <c r="WTH49" s="952"/>
      <c r="WTI49" s="952"/>
      <c r="WTJ49" s="952"/>
      <c r="WTK49" s="952"/>
      <c r="WTL49" s="952"/>
      <c r="WTM49" s="952"/>
      <c r="WTN49" s="952"/>
      <c r="WTO49" s="952"/>
      <c r="WTP49" s="952"/>
      <c r="WTQ49" s="952"/>
      <c r="WTR49" s="952"/>
      <c r="WTS49" s="952"/>
      <c r="WTT49" s="952"/>
      <c r="WTU49" s="952"/>
      <c r="WTV49" s="952"/>
      <c r="WTW49" s="952"/>
      <c r="WTX49" s="952"/>
      <c r="WTY49" s="952"/>
      <c r="WTZ49" s="952"/>
      <c r="WUA49" s="952"/>
      <c r="WUB49" s="952"/>
      <c r="WUC49" s="952"/>
      <c r="WUD49" s="952"/>
      <c r="WUE49" s="952"/>
      <c r="WUF49" s="952"/>
      <c r="WUG49" s="952"/>
      <c r="WUH49" s="952"/>
      <c r="WUI49" s="952"/>
      <c r="WUJ49" s="952"/>
      <c r="WUK49" s="952"/>
      <c r="WUL49" s="952"/>
      <c r="WUM49" s="952"/>
      <c r="WUN49" s="952"/>
      <c r="WUO49" s="952"/>
      <c r="WUP49" s="952"/>
      <c r="WUQ49" s="952"/>
      <c r="WUR49" s="952"/>
      <c r="WUS49" s="952"/>
      <c r="WUT49" s="952"/>
      <c r="WUU49" s="952"/>
      <c r="WUV49" s="952"/>
      <c r="WUW49" s="952"/>
      <c r="WUX49" s="952"/>
      <c r="WUY49" s="952"/>
      <c r="WUZ49" s="952"/>
      <c r="WVA49" s="952"/>
      <c r="WVB49" s="952"/>
      <c r="WVC49" s="952"/>
      <c r="WVD49" s="952"/>
      <c r="WVE49" s="952"/>
      <c r="WVF49" s="952"/>
      <c r="WVG49" s="952"/>
      <c r="WVH49" s="952"/>
      <c r="WVI49" s="952"/>
      <c r="WVJ49" s="952"/>
      <c r="WVK49" s="952"/>
      <c r="WVL49" s="952"/>
      <c r="WVM49" s="952"/>
      <c r="WVN49" s="952"/>
      <c r="WVO49" s="952"/>
      <c r="WVP49" s="952"/>
      <c r="WVQ49" s="952"/>
      <c r="WVR49" s="952"/>
      <c r="WVS49" s="952"/>
      <c r="WVT49" s="952"/>
      <c r="WVU49" s="952"/>
      <c r="WVV49" s="952"/>
      <c r="WVW49" s="952"/>
      <c r="WVX49" s="952"/>
      <c r="WVY49" s="952"/>
      <c r="WVZ49" s="952"/>
      <c r="WWA49" s="952"/>
      <c r="WWB49" s="952"/>
      <c r="WWC49" s="952"/>
      <c r="WWD49" s="952"/>
      <c r="WWE49" s="952"/>
      <c r="WWF49" s="952"/>
      <c r="WWG49" s="952"/>
      <c r="WWH49" s="952"/>
      <c r="WWI49" s="952"/>
      <c r="WWJ49" s="952"/>
      <c r="WWK49" s="952"/>
      <c r="WWL49" s="952"/>
      <c r="WWM49" s="952"/>
      <c r="WWN49" s="952"/>
      <c r="WWO49" s="952"/>
      <c r="WWP49" s="952"/>
      <c r="WWQ49" s="952"/>
      <c r="WWR49" s="952"/>
      <c r="WWS49" s="952"/>
      <c r="WWT49" s="952"/>
      <c r="WWU49" s="952"/>
      <c r="WWV49" s="952"/>
      <c r="WWW49" s="952"/>
      <c r="WWX49" s="952"/>
      <c r="WWY49" s="952"/>
      <c r="WWZ49" s="952"/>
      <c r="WXA49" s="952"/>
      <c r="WXB49" s="952"/>
      <c r="WXC49" s="952"/>
      <c r="WXD49" s="952"/>
      <c r="WXE49" s="952"/>
      <c r="WXF49" s="952"/>
      <c r="WXG49" s="952"/>
      <c r="WXH49" s="952"/>
      <c r="WXI49" s="952"/>
      <c r="WXJ49" s="952"/>
      <c r="WXK49" s="952"/>
      <c r="WXL49" s="952"/>
      <c r="WXM49" s="952"/>
      <c r="WXN49" s="952"/>
      <c r="WXO49" s="952"/>
      <c r="WXP49" s="952"/>
      <c r="WXQ49" s="952"/>
      <c r="WXR49" s="952"/>
      <c r="WXS49" s="952"/>
      <c r="WXT49" s="952"/>
      <c r="WXU49" s="952"/>
      <c r="WXV49" s="952"/>
      <c r="WXW49" s="952"/>
      <c r="WXX49" s="952"/>
      <c r="WXY49" s="952"/>
      <c r="WXZ49" s="952"/>
      <c r="WYA49" s="952"/>
      <c r="WYB49" s="952"/>
      <c r="WYC49" s="952"/>
      <c r="WYD49" s="952"/>
      <c r="WYE49" s="952"/>
      <c r="WYF49" s="952"/>
      <c r="WYG49" s="952"/>
      <c r="WYH49" s="952"/>
      <c r="WYI49" s="952"/>
      <c r="WYJ49" s="952"/>
      <c r="WYK49" s="952"/>
      <c r="WYL49" s="952"/>
      <c r="WYM49" s="952"/>
      <c r="WYN49" s="952"/>
      <c r="WYO49" s="952"/>
      <c r="WYP49" s="952"/>
      <c r="WYQ49" s="952"/>
      <c r="WYR49" s="952"/>
      <c r="WYS49" s="952"/>
      <c r="WYT49" s="952"/>
      <c r="WYU49" s="952"/>
      <c r="WYV49" s="952"/>
      <c r="WYW49" s="952"/>
      <c r="WYX49" s="952"/>
      <c r="WYY49" s="952"/>
      <c r="WYZ49" s="952"/>
      <c r="WZA49" s="952"/>
      <c r="WZB49" s="952"/>
      <c r="WZC49" s="952"/>
      <c r="WZD49" s="952"/>
      <c r="WZE49" s="952"/>
      <c r="WZF49" s="952"/>
      <c r="WZG49" s="952"/>
      <c r="WZH49" s="952"/>
      <c r="WZI49" s="952"/>
      <c r="WZJ49" s="952"/>
      <c r="WZK49" s="952"/>
      <c r="WZL49" s="952"/>
      <c r="WZM49" s="952"/>
      <c r="WZN49" s="952"/>
      <c r="WZO49" s="952"/>
      <c r="WZP49" s="952"/>
      <c r="WZQ49" s="952"/>
      <c r="WZR49" s="952"/>
      <c r="WZS49" s="952"/>
      <c r="WZT49" s="952"/>
      <c r="WZU49" s="952"/>
      <c r="WZV49" s="952"/>
      <c r="WZW49" s="952"/>
      <c r="WZX49" s="952"/>
      <c r="WZY49" s="952"/>
      <c r="WZZ49" s="952"/>
      <c r="XAA49" s="952"/>
      <c r="XAB49" s="952"/>
      <c r="XAC49" s="952"/>
      <c r="XAD49" s="952"/>
      <c r="XAE49" s="952"/>
      <c r="XAF49" s="952"/>
      <c r="XAG49" s="952"/>
      <c r="XAH49" s="952"/>
      <c r="XAI49" s="952"/>
      <c r="XAJ49" s="952"/>
      <c r="XAK49" s="952"/>
      <c r="XAL49" s="952"/>
      <c r="XAM49" s="952"/>
      <c r="XAN49" s="952"/>
      <c r="XAO49" s="952"/>
      <c r="XAP49" s="952"/>
      <c r="XAQ49" s="952"/>
      <c r="XAR49" s="952"/>
      <c r="XAS49" s="952"/>
      <c r="XAT49" s="952"/>
      <c r="XAU49" s="952"/>
      <c r="XAV49" s="952"/>
      <c r="XAW49" s="952"/>
      <c r="XAX49" s="952"/>
      <c r="XAY49" s="952"/>
      <c r="XAZ49" s="952"/>
      <c r="XBA49" s="952"/>
      <c r="XBB49" s="952"/>
      <c r="XBC49" s="952"/>
      <c r="XBD49" s="952"/>
      <c r="XBE49" s="952"/>
      <c r="XBF49" s="952"/>
      <c r="XBG49" s="952"/>
      <c r="XBH49" s="952"/>
      <c r="XBI49" s="952"/>
      <c r="XBJ49" s="952"/>
      <c r="XBK49" s="952"/>
      <c r="XBL49" s="952"/>
      <c r="XBM49" s="952"/>
      <c r="XBN49" s="952"/>
      <c r="XBO49" s="952"/>
      <c r="XBP49" s="952"/>
      <c r="XBQ49" s="952"/>
      <c r="XBR49" s="952"/>
      <c r="XBS49" s="952"/>
      <c r="XBT49" s="952"/>
      <c r="XBU49" s="952"/>
      <c r="XBV49" s="952"/>
      <c r="XBW49" s="952"/>
      <c r="XBX49" s="952"/>
      <c r="XBY49" s="952"/>
      <c r="XBZ49" s="952"/>
      <c r="XCA49" s="952"/>
      <c r="XCB49" s="952"/>
      <c r="XCC49" s="952"/>
      <c r="XCD49" s="952"/>
      <c r="XCE49" s="952"/>
      <c r="XCF49" s="952"/>
      <c r="XCG49" s="952"/>
      <c r="XCH49" s="952"/>
      <c r="XCI49" s="952"/>
      <c r="XCJ49" s="952"/>
      <c r="XCK49" s="952"/>
      <c r="XCL49" s="952"/>
      <c r="XCM49" s="952"/>
      <c r="XCN49" s="952"/>
      <c r="XCO49" s="952"/>
      <c r="XCP49" s="952"/>
      <c r="XCQ49" s="952"/>
      <c r="XCR49" s="952"/>
      <c r="XCS49" s="952"/>
      <c r="XCT49" s="952"/>
      <c r="XCU49" s="952"/>
      <c r="XCV49" s="952"/>
      <c r="XCW49" s="952"/>
      <c r="XCX49" s="952"/>
      <c r="XCY49" s="952"/>
      <c r="XCZ49" s="952"/>
      <c r="XDA49" s="952"/>
      <c r="XDB49" s="952"/>
      <c r="XDC49" s="952"/>
      <c r="XDD49" s="952"/>
      <c r="XDE49" s="952"/>
      <c r="XDF49" s="952"/>
      <c r="XDG49" s="952"/>
      <c r="XDH49" s="952"/>
      <c r="XDI49" s="952"/>
      <c r="XDJ49" s="952"/>
      <c r="XDK49" s="952"/>
      <c r="XDL49" s="952"/>
      <c r="XDM49" s="952"/>
      <c r="XDN49" s="952"/>
      <c r="XDO49" s="952"/>
      <c r="XDP49" s="952"/>
      <c r="XDQ49" s="952"/>
      <c r="XDR49" s="952"/>
      <c r="XDS49" s="952"/>
      <c r="XDT49" s="952"/>
      <c r="XDU49" s="952"/>
      <c r="XDV49" s="952"/>
      <c r="XDW49" s="952"/>
      <c r="XDX49" s="952"/>
      <c r="XDY49" s="952"/>
      <c r="XDZ49" s="952"/>
      <c r="XEA49" s="952"/>
      <c r="XEB49" s="952"/>
      <c r="XEC49" s="952"/>
    </row>
    <row r="50" spans="1:16357" ht="57.75" customHeight="1">
      <c r="A50" s="97" t="s">
        <v>102</v>
      </c>
      <c r="B50" s="102" t="s">
        <v>103</v>
      </c>
      <c r="C50" s="98"/>
      <c r="D50" s="98"/>
      <c r="E50" s="98"/>
      <c r="F50" s="98"/>
      <c r="G50" s="98"/>
      <c r="H50" s="98"/>
      <c r="I50" s="99"/>
      <c r="J50" s="98"/>
      <c r="K50" s="98"/>
      <c r="L50" s="98"/>
      <c r="M50" s="98"/>
      <c r="N50" s="98"/>
      <c r="O50" s="97"/>
      <c r="P50" s="97"/>
      <c r="Q50" s="97"/>
      <c r="R50" s="97"/>
      <c r="S50" s="952"/>
      <c r="T50" s="952"/>
      <c r="U50" s="952"/>
      <c r="V50" s="952"/>
      <c r="W50" s="952"/>
      <c r="X50" s="952"/>
      <c r="Y50" s="952"/>
      <c r="Z50" s="952"/>
      <c r="AA50" s="952"/>
      <c r="AB50" s="952"/>
      <c r="AC50" s="952"/>
      <c r="AD50" s="952"/>
      <c r="AE50" s="952"/>
      <c r="AF50" s="952"/>
      <c r="AG50" s="952"/>
      <c r="AH50" s="6"/>
      <c r="AI50" s="38"/>
      <c r="AJ50" s="6"/>
      <c r="AK50" s="89"/>
      <c r="AL50" s="5"/>
      <c r="AM50" s="168"/>
      <c r="AN50" s="168"/>
      <c r="AO50" s="168"/>
      <c r="AP50" s="168"/>
      <c r="AQ50" s="168"/>
      <c r="AR50" s="168"/>
      <c r="AS50" s="168"/>
      <c r="AT50" s="168"/>
      <c r="AU50" s="168"/>
      <c r="AV50" s="168"/>
      <c r="AW50" s="168"/>
      <c r="AX50" s="952"/>
      <c r="AY50" s="952"/>
      <c r="AZ50" s="952"/>
      <c r="BA50" s="952"/>
      <c r="BB50" s="952"/>
      <c r="BC50" s="952"/>
      <c r="BD50" s="952"/>
      <c r="BE50" s="952"/>
      <c r="BF50" s="952"/>
      <c r="BG50" s="952"/>
      <c r="BH50" s="952"/>
      <c r="BI50" s="952"/>
      <c r="BJ50" s="952"/>
      <c r="BK50" s="952"/>
      <c r="BL50" s="952"/>
      <c r="BM50" s="952"/>
      <c r="BN50" s="952"/>
      <c r="BO50" s="952"/>
      <c r="BP50" s="952"/>
      <c r="BQ50" s="952"/>
      <c r="BR50" s="952"/>
      <c r="BS50" s="952"/>
      <c r="BT50" s="952"/>
      <c r="BU50" s="952"/>
      <c r="BV50" s="168"/>
      <c r="BW50" s="168"/>
      <c r="BX50" s="168"/>
      <c r="BY50" s="952"/>
      <c r="BZ50" s="952"/>
      <c r="CA50" s="952"/>
      <c r="CB50" s="952"/>
      <c r="CC50" s="952"/>
      <c r="CD50" s="952"/>
      <c r="CE50" s="952"/>
      <c r="CF50" s="952"/>
      <c r="CG50" s="952"/>
      <c r="CH50" s="952"/>
      <c r="CI50" s="952"/>
      <c r="CJ50" s="952"/>
      <c r="CK50" s="952"/>
      <c r="CL50" s="952"/>
      <c r="CM50" s="952"/>
      <c r="CN50" s="952"/>
      <c r="CO50" s="952"/>
      <c r="CP50" s="952"/>
      <c r="CQ50" s="952"/>
      <c r="CR50" s="952"/>
      <c r="CS50" s="952"/>
      <c r="CT50" s="952"/>
      <c r="CU50" s="952"/>
      <c r="CV50" s="952"/>
      <c r="CW50" s="952"/>
      <c r="CX50" s="952"/>
      <c r="CY50" s="952"/>
      <c r="CZ50" s="952"/>
      <c r="DA50" s="952"/>
      <c r="DB50" s="952"/>
      <c r="DC50" s="952"/>
      <c r="DD50" s="952"/>
      <c r="DE50" s="952"/>
      <c r="DF50" s="952"/>
      <c r="DG50" s="952"/>
      <c r="DH50" s="952"/>
      <c r="DI50" s="952"/>
      <c r="DJ50" s="952"/>
      <c r="DK50" s="952"/>
      <c r="DL50" s="952"/>
      <c r="DM50" s="952"/>
      <c r="DN50" s="952"/>
      <c r="DO50" s="952"/>
      <c r="DP50" s="952"/>
      <c r="DQ50" s="952"/>
      <c r="DR50" s="952"/>
      <c r="DS50" s="952"/>
      <c r="DT50" s="952"/>
      <c r="DU50" s="952"/>
      <c r="DV50" s="952"/>
      <c r="DW50" s="952"/>
      <c r="DX50" s="952"/>
      <c r="DY50" s="952"/>
      <c r="DZ50" s="952"/>
      <c r="EA50" s="952"/>
      <c r="EB50" s="952"/>
      <c r="EC50" s="952"/>
      <c r="ED50" s="952"/>
      <c r="EE50" s="952"/>
      <c r="EF50" s="952"/>
      <c r="EG50" s="952"/>
      <c r="EH50" s="952"/>
      <c r="EI50" s="952"/>
      <c r="EJ50" s="952"/>
      <c r="EK50" s="952"/>
      <c r="EL50" s="952"/>
      <c r="EM50" s="952"/>
      <c r="EN50" s="952"/>
      <c r="EO50" s="952"/>
      <c r="EP50" s="952"/>
      <c r="EQ50" s="952"/>
      <c r="ER50" s="952"/>
      <c r="ES50" s="952"/>
      <c r="ET50" s="952"/>
      <c r="EU50" s="952"/>
      <c r="EV50" s="952"/>
      <c r="EW50" s="952"/>
      <c r="EX50" s="952"/>
      <c r="EY50" s="952"/>
      <c r="EZ50" s="952"/>
      <c r="FA50" s="952"/>
      <c r="FB50" s="952"/>
      <c r="FC50" s="952"/>
      <c r="FD50" s="952"/>
      <c r="FE50" s="952"/>
      <c r="FF50" s="952"/>
      <c r="FG50" s="952"/>
      <c r="FH50" s="952"/>
      <c r="FI50" s="952"/>
      <c r="FJ50" s="952"/>
      <c r="FK50" s="952"/>
      <c r="FL50" s="952"/>
      <c r="FM50" s="952"/>
      <c r="FN50" s="952"/>
      <c r="FO50" s="952"/>
      <c r="FP50" s="952"/>
      <c r="FQ50" s="952"/>
      <c r="FR50" s="952"/>
      <c r="FS50" s="952"/>
      <c r="FT50" s="952"/>
      <c r="FU50" s="952"/>
      <c r="FV50" s="952"/>
      <c r="FW50" s="952"/>
      <c r="FX50" s="952"/>
      <c r="FY50" s="952"/>
      <c r="FZ50" s="952"/>
      <c r="GA50" s="952"/>
      <c r="GB50" s="952"/>
      <c r="GC50" s="952"/>
      <c r="GD50" s="952"/>
      <c r="GE50" s="952"/>
      <c r="GF50" s="952"/>
      <c r="GG50" s="952"/>
      <c r="GH50" s="952"/>
      <c r="GI50" s="952"/>
      <c r="GJ50" s="952"/>
      <c r="GK50" s="952"/>
      <c r="GL50" s="952"/>
      <c r="GM50" s="952"/>
      <c r="GN50" s="952"/>
      <c r="GO50" s="952"/>
      <c r="GP50" s="952"/>
      <c r="GQ50" s="952"/>
      <c r="GR50" s="952"/>
      <c r="GS50" s="952"/>
      <c r="GT50" s="952"/>
      <c r="GU50" s="952"/>
      <c r="GV50" s="952"/>
      <c r="GW50" s="952"/>
      <c r="GX50" s="952"/>
      <c r="GY50" s="952"/>
      <c r="GZ50" s="952"/>
      <c r="HA50" s="952"/>
      <c r="HB50" s="952"/>
      <c r="HC50" s="952"/>
      <c r="HD50" s="952"/>
      <c r="HE50" s="952"/>
      <c r="HF50" s="952"/>
      <c r="HG50" s="952"/>
      <c r="HH50" s="952"/>
      <c r="HI50" s="952"/>
      <c r="HJ50" s="952"/>
      <c r="HK50" s="952"/>
      <c r="HL50" s="952"/>
      <c r="HM50" s="952"/>
      <c r="HN50" s="952"/>
      <c r="HO50" s="952"/>
      <c r="HP50" s="952"/>
      <c r="HQ50" s="952"/>
      <c r="HR50" s="952"/>
      <c r="HS50" s="952"/>
      <c r="HT50" s="952"/>
      <c r="HU50" s="952"/>
      <c r="HV50" s="952"/>
      <c r="HW50" s="952"/>
      <c r="HX50" s="952"/>
      <c r="HY50" s="952"/>
      <c r="HZ50" s="952"/>
      <c r="IA50" s="952"/>
      <c r="IB50" s="952"/>
      <c r="IC50" s="952"/>
      <c r="ID50" s="952"/>
      <c r="IE50" s="952"/>
      <c r="IF50" s="952"/>
      <c r="IG50" s="952"/>
      <c r="IH50" s="952"/>
      <c r="II50" s="952"/>
      <c r="IJ50" s="952"/>
      <c r="IK50" s="952"/>
      <c r="IL50" s="952"/>
      <c r="IM50" s="952"/>
      <c r="IN50" s="952"/>
      <c r="IO50" s="952"/>
      <c r="IP50" s="952"/>
      <c r="IQ50" s="952"/>
      <c r="IR50" s="952"/>
      <c r="IS50" s="952"/>
      <c r="IT50" s="952"/>
      <c r="IU50" s="952"/>
      <c r="IV50" s="952"/>
      <c r="IW50" s="952"/>
      <c r="IX50" s="952"/>
      <c r="IY50" s="952"/>
      <c r="IZ50" s="952"/>
      <c r="JA50" s="952"/>
      <c r="JB50" s="952"/>
      <c r="JC50" s="952"/>
      <c r="JD50" s="952"/>
      <c r="JE50" s="952"/>
      <c r="JF50" s="952"/>
      <c r="JG50" s="952"/>
      <c r="JH50" s="952"/>
      <c r="JI50" s="952"/>
      <c r="JJ50" s="952"/>
      <c r="JK50" s="952"/>
      <c r="JL50" s="952"/>
      <c r="JM50" s="952"/>
      <c r="JN50" s="952"/>
      <c r="JO50" s="952"/>
      <c r="JP50" s="952"/>
      <c r="JQ50" s="952"/>
      <c r="JR50" s="952"/>
      <c r="JS50" s="952"/>
      <c r="JT50" s="952"/>
      <c r="JU50" s="952"/>
      <c r="JV50" s="952"/>
      <c r="JW50" s="952"/>
      <c r="JX50" s="952"/>
      <c r="JY50" s="952"/>
      <c r="JZ50" s="952"/>
      <c r="KA50" s="952"/>
      <c r="KB50" s="952"/>
      <c r="KC50" s="952"/>
      <c r="KD50" s="952"/>
      <c r="KE50" s="952"/>
      <c r="KF50" s="952"/>
      <c r="KG50" s="952"/>
      <c r="KH50" s="952"/>
      <c r="KI50" s="952"/>
      <c r="KJ50" s="952"/>
      <c r="KK50" s="952"/>
      <c r="KL50" s="952"/>
      <c r="KM50" s="952"/>
      <c r="KN50" s="952"/>
      <c r="KO50" s="952"/>
      <c r="KP50" s="952"/>
      <c r="KQ50" s="952"/>
      <c r="KR50" s="952"/>
      <c r="KS50" s="952"/>
      <c r="KT50" s="952"/>
      <c r="KU50" s="952"/>
      <c r="KV50" s="952"/>
      <c r="KW50" s="952"/>
      <c r="KX50" s="952"/>
      <c r="KY50" s="952"/>
      <c r="KZ50" s="952"/>
      <c r="LA50" s="952"/>
      <c r="LB50" s="952"/>
      <c r="LC50" s="952"/>
      <c r="LD50" s="952"/>
      <c r="LE50" s="952"/>
      <c r="LF50" s="952"/>
      <c r="LG50" s="952"/>
      <c r="LH50" s="952"/>
      <c r="LI50" s="952"/>
      <c r="LJ50" s="952"/>
      <c r="LK50" s="952"/>
      <c r="LL50" s="952"/>
      <c r="LM50" s="952"/>
      <c r="LN50" s="952"/>
      <c r="LO50" s="952"/>
      <c r="LP50" s="952"/>
      <c r="LQ50" s="952"/>
      <c r="LR50" s="952"/>
      <c r="LS50" s="952"/>
      <c r="LT50" s="952"/>
      <c r="LU50" s="952"/>
      <c r="LV50" s="952"/>
      <c r="LW50" s="952"/>
      <c r="LX50" s="952"/>
      <c r="LY50" s="952"/>
      <c r="LZ50" s="952"/>
      <c r="MA50" s="952"/>
      <c r="MB50" s="952"/>
      <c r="MC50" s="952"/>
      <c r="MD50" s="952"/>
      <c r="ME50" s="952"/>
      <c r="MF50" s="952"/>
      <c r="MG50" s="952"/>
      <c r="MH50" s="952"/>
      <c r="MI50" s="952"/>
      <c r="MJ50" s="952"/>
      <c r="MK50" s="952"/>
      <c r="ML50" s="952"/>
      <c r="MM50" s="952"/>
      <c r="MN50" s="952"/>
      <c r="MO50" s="952"/>
      <c r="MP50" s="952"/>
      <c r="MQ50" s="952"/>
      <c r="MR50" s="952"/>
      <c r="MS50" s="952"/>
      <c r="MT50" s="952"/>
      <c r="MU50" s="952"/>
      <c r="MV50" s="952"/>
      <c r="MW50" s="952"/>
      <c r="MX50" s="952"/>
      <c r="MY50" s="952"/>
      <c r="MZ50" s="952"/>
      <c r="NA50" s="952"/>
      <c r="NB50" s="952"/>
      <c r="NC50" s="952"/>
      <c r="ND50" s="952"/>
      <c r="NE50" s="952"/>
      <c r="NF50" s="952"/>
      <c r="NG50" s="952"/>
      <c r="NH50" s="952"/>
      <c r="NI50" s="952"/>
      <c r="NJ50" s="952"/>
      <c r="NK50" s="952"/>
      <c r="NL50" s="952"/>
      <c r="NM50" s="952"/>
      <c r="NN50" s="952"/>
      <c r="NO50" s="952"/>
      <c r="NP50" s="952"/>
      <c r="NQ50" s="952"/>
      <c r="NR50" s="952"/>
      <c r="NS50" s="952"/>
      <c r="NT50" s="952"/>
      <c r="NU50" s="952"/>
      <c r="NV50" s="952"/>
      <c r="NW50" s="952"/>
      <c r="NX50" s="952"/>
      <c r="NY50" s="952"/>
      <c r="NZ50" s="952"/>
      <c r="OA50" s="952"/>
      <c r="OB50" s="952"/>
      <c r="OC50" s="952"/>
      <c r="OD50" s="952"/>
      <c r="OE50" s="952"/>
      <c r="OF50" s="952"/>
      <c r="OG50" s="952"/>
      <c r="OH50" s="952"/>
      <c r="OI50" s="952"/>
      <c r="OJ50" s="952"/>
      <c r="OK50" s="952"/>
      <c r="OL50" s="952"/>
      <c r="OM50" s="952"/>
      <c r="ON50" s="952"/>
      <c r="OO50" s="952"/>
      <c r="OP50" s="952"/>
      <c r="OQ50" s="952"/>
      <c r="OR50" s="952"/>
      <c r="OS50" s="952"/>
      <c r="OT50" s="952"/>
      <c r="OU50" s="952"/>
      <c r="OV50" s="952"/>
      <c r="OW50" s="952"/>
      <c r="OX50" s="952"/>
      <c r="OY50" s="952"/>
      <c r="OZ50" s="952"/>
      <c r="PA50" s="952"/>
      <c r="PB50" s="952"/>
      <c r="PC50" s="952"/>
      <c r="PD50" s="952"/>
      <c r="PE50" s="952"/>
      <c r="PF50" s="952"/>
      <c r="PG50" s="952"/>
      <c r="PH50" s="952"/>
      <c r="PI50" s="952"/>
      <c r="PJ50" s="952"/>
      <c r="PK50" s="952"/>
      <c r="PL50" s="952"/>
      <c r="PM50" s="952"/>
      <c r="PN50" s="952"/>
      <c r="PO50" s="952"/>
      <c r="PP50" s="952"/>
      <c r="PQ50" s="952"/>
      <c r="PR50" s="952"/>
      <c r="PS50" s="952"/>
      <c r="PT50" s="952"/>
      <c r="PU50" s="952"/>
      <c r="PV50" s="952"/>
      <c r="PW50" s="952"/>
      <c r="PX50" s="952"/>
      <c r="PY50" s="952"/>
      <c r="PZ50" s="952"/>
      <c r="QA50" s="952"/>
      <c r="QB50" s="952"/>
      <c r="QC50" s="952"/>
      <c r="QD50" s="952"/>
      <c r="QE50" s="952"/>
      <c r="QF50" s="952"/>
      <c r="QG50" s="952"/>
      <c r="QH50" s="952"/>
      <c r="QI50" s="952"/>
      <c r="QJ50" s="952"/>
      <c r="QK50" s="952"/>
      <c r="QL50" s="952"/>
      <c r="QM50" s="952"/>
      <c r="QN50" s="952"/>
      <c r="QO50" s="952"/>
      <c r="QP50" s="952"/>
      <c r="QQ50" s="952"/>
      <c r="QR50" s="952"/>
      <c r="QS50" s="952"/>
      <c r="QT50" s="952"/>
      <c r="QU50" s="952"/>
      <c r="QV50" s="952"/>
      <c r="QW50" s="952"/>
      <c r="QX50" s="952"/>
      <c r="QY50" s="952"/>
      <c r="QZ50" s="952"/>
      <c r="RA50" s="952"/>
      <c r="RB50" s="952"/>
      <c r="RC50" s="952"/>
      <c r="RD50" s="952"/>
      <c r="RE50" s="952"/>
      <c r="RF50" s="952"/>
      <c r="RG50" s="952"/>
      <c r="RH50" s="952"/>
      <c r="RI50" s="952"/>
      <c r="RJ50" s="952"/>
      <c r="RK50" s="952"/>
      <c r="RL50" s="952"/>
      <c r="RM50" s="952"/>
      <c r="RN50" s="952"/>
      <c r="RO50" s="952"/>
      <c r="RP50" s="952"/>
      <c r="RQ50" s="952"/>
      <c r="RR50" s="952"/>
      <c r="RS50" s="952"/>
      <c r="RT50" s="952"/>
      <c r="RU50" s="952"/>
      <c r="RV50" s="952"/>
      <c r="RW50" s="952"/>
      <c r="RX50" s="952"/>
      <c r="RY50" s="952"/>
      <c r="RZ50" s="952"/>
      <c r="SA50" s="952"/>
      <c r="SB50" s="952"/>
      <c r="SC50" s="952"/>
      <c r="SD50" s="952"/>
      <c r="SE50" s="952"/>
      <c r="SF50" s="952"/>
      <c r="SG50" s="952"/>
      <c r="SH50" s="952"/>
      <c r="SI50" s="952"/>
      <c r="SJ50" s="952"/>
      <c r="SK50" s="952"/>
      <c r="SL50" s="952"/>
      <c r="SM50" s="952"/>
      <c r="SN50" s="952"/>
      <c r="SO50" s="952"/>
      <c r="SP50" s="952"/>
      <c r="SQ50" s="952"/>
      <c r="SR50" s="952"/>
      <c r="SS50" s="952"/>
      <c r="ST50" s="952"/>
      <c r="SU50" s="952"/>
      <c r="SV50" s="952"/>
      <c r="SW50" s="952"/>
      <c r="SX50" s="952"/>
      <c r="SY50" s="952"/>
      <c r="SZ50" s="952"/>
      <c r="TA50" s="952"/>
      <c r="TB50" s="952"/>
      <c r="TC50" s="952"/>
      <c r="TD50" s="952"/>
      <c r="TE50" s="952"/>
      <c r="TF50" s="952"/>
      <c r="TG50" s="952"/>
      <c r="TH50" s="952"/>
      <c r="TI50" s="952"/>
      <c r="TJ50" s="952"/>
      <c r="TK50" s="952"/>
      <c r="TL50" s="952"/>
      <c r="TM50" s="952"/>
      <c r="TN50" s="952"/>
      <c r="TO50" s="952"/>
      <c r="TP50" s="952"/>
      <c r="TQ50" s="952"/>
      <c r="TR50" s="952"/>
      <c r="TS50" s="952"/>
      <c r="TT50" s="952"/>
      <c r="TU50" s="952"/>
      <c r="TV50" s="952"/>
      <c r="TW50" s="952"/>
      <c r="TX50" s="952"/>
      <c r="TY50" s="952"/>
      <c r="TZ50" s="952"/>
      <c r="UA50" s="952"/>
      <c r="UB50" s="952"/>
      <c r="UC50" s="952"/>
      <c r="UD50" s="952"/>
      <c r="UE50" s="952"/>
      <c r="UF50" s="952"/>
      <c r="UG50" s="952"/>
      <c r="UH50" s="952"/>
      <c r="UI50" s="952"/>
      <c r="UJ50" s="952"/>
      <c r="UK50" s="952"/>
      <c r="UL50" s="952"/>
      <c r="UM50" s="952"/>
      <c r="UN50" s="952"/>
      <c r="UO50" s="952"/>
      <c r="UP50" s="952"/>
      <c r="UQ50" s="952"/>
      <c r="UR50" s="952"/>
      <c r="US50" s="952"/>
      <c r="UT50" s="952"/>
      <c r="UU50" s="952"/>
      <c r="UV50" s="952"/>
      <c r="UW50" s="952"/>
      <c r="UX50" s="952"/>
      <c r="UY50" s="952"/>
      <c r="UZ50" s="952"/>
      <c r="VA50" s="952"/>
      <c r="VB50" s="952"/>
      <c r="VC50" s="952"/>
      <c r="VD50" s="952"/>
      <c r="VE50" s="952"/>
      <c r="VF50" s="952"/>
      <c r="VG50" s="952"/>
      <c r="VH50" s="952"/>
      <c r="VI50" s="952"/>
      <c r="VJ50" s="952"/>
      <c r="VK50" s="952"/>
      <c r="VL50" s="952"/>
      <c r="VM50" s="952"/>
      <c r="VN50" s="952"/>
      <c r="VO50" s="952"/>
      <c r="VP50" s="952"/>
      <c r="VQ50" s="952"/>
      <c r="VR50" s="952"/>
      <c r="VS50" s="952"/>
      <c r="VT50" s="952"/>
      <c r="VU50" s="952"/>
      <c r="VV50" s="952"/>
      <c r="VW50" s="952"/>
      <c r="VX50" s="952"/>
      <c r="VY50" s="952"/>
      <c r="VZ50" s="952"/>
      <c r="WA50" s="952"/>
      <c r="WB50" s="952"/>
      <c r="WC50" s="952"/>
      <c r="WD50" s="952"/>
      <c r="WE50" s="952"/>
      <c r="WF50" s="952"/>
      <c r="WG50" s="952"/>
      <c r="WH50" s="952"/>
      <c r="WI50" s="952"/>
      <c r="WJ50" s="952"/>
      <c r="WK50" s="952"/>
      <c r="WL50" s="952"/>
      <c r="WM50" s="952"/>
      <c r="WN50" s="952"/>
      <c r="WO50" s="952"/>
      <c r="WP50" s="952"/>
      <c r="WQ50" s="952"/>
      <c r="WR50" s="952"/>
      <c r="WS50" s="952"/>
      <c r="WT50" s="952"/>
      <c r="WU50" s="952"/>
      <c r="WV50" s="952"/>
      <c r="WW50" s="952"/>
      <c r="WX50" s="952"/>
      <c r="WY50" s="952"/>
      <c r="WZ50" s="952"/>
      <c r="XA50" s="952"/>
      <c r="XB50" s="952"/>
      <c r="XC50" s="952"/>
      <c r="XD50" s="952"/>
      <c r="XE50" s="952"/>
      <c r="XF50" s="952"/>
      <c r="XG50" s="952"/>
      <c r="XH50" s="952"/>
      <c r="XI50" s="952"/>
      <c r="XJ50" s="952"/>
      <c r="XK50" s="952"/>
      <c r="XL50" s="952"/>
      <c r="XM50" s="952"/>
      <c r="XN50" s="952"/>
      <c r="XO50" s="952"/>
      <c r="XP50" s="952"/>
      <c r="XQ50" s="952"/>
      <c r="XR50" s="952"/>
      <c r="XS50" s="952"/>
      <c r="XT50" s="952"/>
      <c r="XU50" s="952"/>
      <c r="XV50" s="952"/>
      <c r="XW50" s="952"/>
      <c r="XX50" s="952"/>
      <c r="XY50" s="952"/>
      <c r="XZ50" s="952"/>
      <c r="YA50" s="952"/>
      <c r="YB50" s="952"/>
      <c r="YC50" s="952"/>
      <c r="YD50" s="952"/>
      <c r="YE50" s="952"/>
      <c r="YF50" s="952"/>
      <c r="YG50" s="952"/>
      <c r="YH50" s="952"/>
      <c r="YI50" s="952"/>
      <c r="YJ50" s="952"/>
      <c r="YK50" s="952"/>
      <c r="YL50" s="952"/>
      <c r="YM50" s="952"/>
      <c r="YN50" s="952"/>
      <c r="YO50" s="952"/>
      <c r="YP50" s="952"/>
      <c r="YQ50" s="952"/>
      <c r="YR50" s="952"/>
      <c r="YS50" s="952"/>
      <c r="YT50" s="952"/>
      <c r="YU50" s="952"/>
      <c r="YV50" s="952"/>
      <c r="YW50" s="952"/>
      <c r="YX50" s="952"/>
      <c r="YY50" s="952"/>
      <c r="YZ50" s="952"/>
      <c r="ZA50" s="952"/>
      <c r="ZB50" s="952"/>
      <c r="ZC50" s="952"/>
      <c r="ZD50" s="952"/>
      <c r="ZE50" s="952"/>
      <c r="ZF50" s="952"/>
      <c r="ZG50" s="952"/>
      <c r="ZH50" s="952"/>
      <c r="ZI50" s="952"/>
      <c r="ZJ50" s="952"/>
      <c r="ZK50" s="952"/>
      <c r="ZL50" s="952"/>
      <c r="ZM50" s="952"/>
      <c r="ZN50" s="952"/>
      <c r="ZO50" s="952"/>
      <c r="ZP50" s="952"/>
      <c r="ZQ50" s="952"/>
      <c r="ZR50" s="952"/>
      <c r="ZS50" s="952"/>
      <c r="ZT50" s="952"/>
      <c r="ZU50" s="952"/>
      <c r="ZV50" s="952"/>
      <c r="ZW50" s="952"/>
      <c r="ZX50" s="952"/>
      <c r="ZY50" s="952"/>
      <c r="ZZ50" s="952"/>
      <c r="AAA50" s="952"/>
      <c r="AAB50" s="952"/>
      <c r="AAC50" s="952"/>
      <c r="AAD50" s="952"/>
      <c r="AAE50" s="952"/>
      <c r="AAF50" s="952"/>
      <c r="AAG50" s="952"/>
      <c r="AAH50" s="952"/>
      <c r="AAI50" s="952"/>
      <c r="AAJ50" s="952"/>
      <c r="AAK50" s="952"/>
      <c r="AAL50" s="952"/>
      <c r="AAM50" s="952"/>
      <c r="AAN50" s="952"/>
      <c r="AAO50" s="952"/>
      <c r="AAP50" s="952"/>
      <c r="AAQ50" s="952"/>
      <c r="AAR50" s="952"/>
      <c r="AAS50" s="952"/>
      <c r="AAT50" s="952"/>
      <c r="AAU50" s="952"/>
      <c r="AAV50" s="952"/>
      <c r="AAW50" s="952"/>
      <c r="AAX50" s="952"/>
      <c r="AAY50" s="952"/>
      <c r="AAZ50" s="952"/>
      <c r="ABA50" s="952"/>
      <c r="ABB50" s="952"/>
      <c r="ABC50" s="952"/>
      <c r="ABD50" s="952"/>
      <c r="ABE50" s="952"/>
      <c r="ABF50" s="952"/>
      <c r="ABG50" s="952"/>
      <c r="ABH50" s="952"/>
      <c r="ABI50" s="952"/>
      <c r="ABJ50" s="952"/>
      <c r="ABK50" s="952"/>
      <c r="ABL50" s="952"/>
      <c r="ABM50" s="952"/>
      <c r="ABN50" s="952"/>
      <c r="ABO50" s="952"/>
      <c r="ABP50" s="952"/>
      <c r="ABQ50" s="952"/>
      <c r="ABR50" s="952"/>
      <c r="ABS50" s="952"/>
      <c r="ABT50" s="952"/>
      <c r="ABU50" s="952"/>
      <c r="ABV50" s="952"/>
      <c r="ABW50" s="952"/>
      <c r="ABX50" s="952"/>
      <c r="ABY50" s="952"/>
      <c r="ABZ50" s="952"/>
      <c r="ACA50" s="952"/>
      <c r="ACB50" s="952"/>
      <c r="ACC50" s="952"/>
      <c r="ACD50" s="952"/>
      <c r="ACE50" s="952"/>
      <c r="ACF50" s="952"/>
      <c r="ACG50" s="952"/>
      <c r="ACH50" s="952"/>
      <c r="ACI50" s="952"/>
      <c r="ACJ50" s="952"/>
      <c r="ACK50" s="952"/>
      <c r="ACL50" s="952"/>
      <c r="ACM50" s="952"/>
      <c r="ACN50" s="952"/>
      <c r="ACO50" s="952"/>
      <c r="ACP50" s="952"/>
      <c r="ACQ50" s="952"/>
      <c r="ACR50" s="952"/>
      <c r="ACS50" s="952"/>
      <c r="ACT50" s="952"/>
      <c r="ACU50" s="952"/>
      <c r="ACV50" s="952"/>
      <c r="ACW50" s="952"/>
      <c r="ACX50" s="952"/>
      <c r="ACY50" s="952"/>
      <c r="ACZ50" s="952"/>
      <c r="ADA50" s="952"/>
      <c r="ADB50" s="952"/>
      <c r="ADC50" s="952"/>
      <c r="ADD50" s="952"/>
      <c r="ADE50" s="952"/>
      <c r="ADF50" s="952"/>
      <c r="ADG50" s="952"/>
      <c r="ADH50" s="952"/>
      <c r="ADI50" s="952"/>
      <c r="ADJ50" s="952"/>
      <c r="ADK50" s="952"/>
      <c r="ADL50" s="952"/>
      <c r="ADM50" s="952"/>
      <c r="ADN50" s="952"/>
      <c r="ADO50" s="952"/>
      <c r="ADP50" s="952"/>
      <c r="ADQ50" s="952"/>
      <c r="ADR50" s="952"/>
      <c r="ADS50" s="952"/>
      <c r="ADT50" s="952"/>
      <c r="ADU50" s="952"/>
      <c r="ADV50" s="952"/>
      <c r="ADW50" s="952"/>
      <c r="ADX50" s="952"/>
      <c r="ADY50" s="952"/>
      <c r="ADZ50" s="952"/>
      <c r="AEA50" s="952"/>
      <c r="AEB50" s="952"/>
      <c r="AEC50" s="952"/>
      <c r="AED50" s="952"/>
      <c r="AEE50" s="952"/>
      <c r="AEF50" s="952"/>
      <c r="AEG50" s="952"/>
      <c r="AEH50" s="952"/>
      <c r="AEI50" s="952"/>
      <c r="AEJ50" s="952"/>
      <c r="AEK50" s="952"/>
      <c r="AEL50" s="952"/>
      <c r="AEM50" s="952"/>
      <c r="AEN50" s="952"/>
      <c r="AEO50" s="952"/>
      <c r="AEP50" s="952"/>
      <c r="AEQ50" s="952"/>
      <c r="AER50" s="952"/>
      <c r="AES50" s="952"/>
      <c r="AET50" s="952"/>
      <c r="AEU50" s="952"/>
      <c r="AEV50" s="952"/>
      <c r="AEW50" s="952"/>
      <c r="AEX50" s="952"/>
      <c r="AEY50" s="952"/>
      <c r="AEZ50" s="952"/>
      <c r="AFA50" s="952"/>
      <c r="AFB50" s="952"/>
      <c r="AFC50" s="952"/>
      <c r="AFD50" s="952"/>
      <c r="AFE50" s="952"/>
      <c r="AFF50" s="952"/>
      <c r="AFG50" s="952"/>
      <c r="AFH50" s="952"/>
      <c r="AFI50" s="952"/>
      <c r="AFJ50" s="952"/>
      <c r="AFK50" s="952"/>
      <c r="AFL50" s="952"/>
      <c r="AFM50" s="952"/>
      <c r="AFN50" s="952"/>
      <c r="AFO50" s="952"/>
      <c r="AFP50" s="952"/>
      <c r="AFQ50" s="952"/>
      <c r="AFR50" s="952"/>
      <c r="AFS50" s="952"/>
      <c r="AFT50" s="952"/>
      <c r="AFU50" s="952"/>
      <c r="AFV50" s="952"/>
      <c r="AFW50" s="952"/>
      <c r="AFX50" s="952"/>
      <c r="AFY50" s="952"/>
      <c r="AFZ50" s="952"/>
      <c r="AGA50" s="952"/>
      <c r="AGB50" s="952"/>
      <c r="AGC50" s="952"/>
      <c r="AGD50" s="952"/>
      <c r="AGE50" s="952"/>
      <c r="AGF50" s="952"/>
      <c r="AGG50" s="952"/>
      <c r="AGH50" s="952"/>
      <c r="AGI50" s="952"/>
      <c r="AGJ50" s="952"/>
      <c r="AGK50" s="952"/>
      <c r="AGL50" s="952"/>
      <c r="AGM50" s="952"/>
      <c r="AGN50" s="952"/>
      <c r="AGO50" s="952"/>
      <c r="AGP50" s="952"/>
      <c r="AGQ50" s="952"/>
      <c r="AGR50" s="952"/>
      <c r="AGS50" s="952"/>
      <c r="AGT50" s="952"/>
      <c r="AGU50" s="952"/>
      <c r="AGV50" s="952"/>
      <c r="AGW50" s="952"/>
      <c r="AGX50" s="952"/>
      <c r="AGY50" s="952"/>
      <c r="AGZ50" s="952"/>
      <c r="AHA50" s="952"/>
      <c r="AHB50" s="952"/>
      <c r="AHC50" s="952"/>
      <c r="AHD50" s="952"/>
      <c r="AHE50" s="952"/>
      <c r="AHF50" s="952"/>
      <c r="AHG50" s="952"/>
      <c r="AHH50" s="952"/>
      <c r="AHI50" s="952"/>
      <c r="AHJ50" s="952"/>
      <c r="AHK50" s="952"/>
      <c r="AHL50" s="952"/>
      <c r="AHM50" s="952"/>
      <c r="AHN50" s="952"/>
      <c r="AHO50" s="952"/>
      <c r="AHP50" s="952"/>
      <c r="AHQ50" s="952"/>
      <c r="AHR50" s="952"/>
      <c r="AHS50" s="952"/>
      <c r="AHT50" s="952"/>
      <c r="AHU50" s="952"/>
      <c r="AHV50" s="952"/>
      <c r="AHW50" s="952"/>
      <c r="AHX50" s="952"/>
      <c r="AHY50" s="952"/>
      <c r="AHZ50" s="952"/>
      <c r="AIA50" s="952"/>
      <c r="AIB50" s="952"/>
      <c r="AIC50" s="952"/>
      <c r="AID50" s="952"/>
      <c r="AIE50" s="952"/>
      <c r="AIF50" s="952"/>
      <c r="AIG50" s="952"/>
      <c r="AIH50" s="952"/>
      <c r="AII50" s="952"/>
      <c r="AIJ50" s="952"/>
      <c r="AIK50" s="952"/>
      <c r="AIL50" s="952"/>
      <c r="AIM50" s="952"/>
      <c r="AIN50" s="952"/>
      <c r="AIO50" s="952"/>
      <c r="AIP50" s="952"/>
      <c r="AIQ50" s="952"/>
      <c r="AIR50" s="952"/>
      <c r="AIS50" s="952"/>
      <c r="AIT50" s="952"/>
      <c r="AIU50" s="952"/>
      <c r="AIV50" s="952"/>
      <c r="AIW50" s="952"/>
      <c r="AIX50" s="952"/>
      <c r="AIY50" s="952"/>
      <c r="AIZ50" s="952"/>
      <c r="AJA50" s="952"/>
      <c r="AJB50" s="952"/>
      <c r="AJC50" s="952"/>
      <c r="AJD50" s="952"/>
      <c r="AJE50" s="952"/>
      <c r="AJF50" s="952"/>
      <c r="AJG50" s="952"/>
      <c r="AJH50" s="952"/>
      <c r="AJI50" s="952"/>
      <c r="AJJ50" s="952"/>
      <c r="AJK50" s="952"/>
      <c r="AJL50" s="952"/>
      <c r="AJM50" s="952"/>
      <c r="AJN50" s="952"/>
      <c r="AJO50" s="952"/>
      <c r="AJP50" s="952"/>
      <c r="AJQ50" s="952"/>
      <c r="AJR50" s="952"/>
      <c r="AJS50" s="952"/>
      <c r="AJT50" s="952"/>
      <c r="AJU50" s="952"/>
      <c r="AJV50" s="952"/>
      <c r="AJW50" s="952"/>
      <c r="AJX50" s="952"/>
      <c r="AJY50" s="952"/>
      <c r="AJZ50" s="952"/>
      <c r="AKA50" s="952"/>
      <c r="AKB50" s="952"/>
      <c r="AKC50" s="952"/>
      <c r="AKD50" s="952"/>
      <c r="AKE50" s="952"/>
      <c r="AKF50" s="952"/>
      <c r="AKG50" s="952"/>
      <c r="AKH50" s="952"/>
      <c r="AKI50" s="952"/>
      <c r="AKJ50" s="952"/>
      <c r="AKK50" s="952"/>
      <c r="AKL50" s="952"/>
      <c r="AKM50" s="952"/>
      <c r="AKN50" s="952"/>
      <c r="AKO50" s="952"/>
      <c r="AKP50" s="952"/>
      <c r="AKQ50" s="952"/>
      <c r="AKR50" s="952"/>
      <c r="AKS50" s="952"/>
      <c r="AKT50" s="952"/>
      <c r="AKU50" s="952"/>
      <c r="AKV50" s="952"/>
      <c r="AKW50" s="952"/>
      <c r="AKX50" s="952"/>
      <c r="AKY50" s="952"/>
      <c r="AKZ50" s="952"/>
      <c r="ALA50" s="952"/>
      <c r="ALB50" s="952"/>
      <c r="ALC50" s="952"/>
      <c r="ALD50" s="952"/>
      <c r="ALE50" s="952"/>
      <c r="ALF50" s="952"/>
      <c r="ALG50" s="952"/>
      <c r="ALH50" s="952"/>
      <c r="ALI50" s="952"/>
      <c r="ALJ50" s="952"/>
      <c r="ALK50" s="952"/>
      <c r="ALL50" s="952"/>
      <c r="ALM50" s="952"/>
      <c r="ALN50" s="952"/>
      <c r="ALO50" s="952"/>
      <c r="ALP50" s="952"/>
      <c r="ALQ50" s="952"/>
      <c r="ALR50" s="952"/>
      <c r="ALS50" s="952"/>
      <c r="ALT50" s="952"/>
      <c r="ALU50" s="952"/>
      <c r="ALV50" s="952"/>
      <c r="ALW50" s="952"/>
      <c r="ALX50" s="952"/>
      <c r="ALY50" s="952"/>
      <c r="ALZ50" s="952"/>
      <c r="AMA50" s="952"/>
      <c r="AMB50" s="952"/>
      <c r="AMC50" s="952"/>
      <c r="AMD50" s="952"/>
      <c r="AME50" s="952"/>
      <c r="AMF50" s="952"/>
      <c r="AMG50" s="952"/>
      <c r="AMH50" s="952"/>
      <c r="AMI50" s="952"/>
      <c r="AMJ50" s="952"/>
      <c r="AMK50" s="952"/>
      <c r="AML50" s="952"/>
      <c r="AMM50" s="952"/>
      <c r="AMN50" s="952"/>
      <c r="AMO50" s="952"/>
      <c r="AMP50" s="952"/>
      <c r="AMQ50" s="952"/>
      <c r="AMR50" s="952"/>
      <c r="AMS50" s="952"/>
      <c r="AMT50" s="952"/>
      <c r="AMU50" s="952"/>
      <c r="AMV50" s="952"/>
      <c r="AMW50" s="952"/>
      <c r="AMX50" s="952"/>
      <c r="AMY50" s="952"/>
      <c r="AMZ50" s="952"/>
      <c r="ANA50" s="952"/>
      <c r="ANB50" s="952"/>
      <c r="ANC50" s="952"/>
      <c r="AND50" s="952"/>
      <c r="ANE50" s="952"/>
      <c r="ANF50" s="952"/>
      <c r="ANG50" s="952"/>
      <c r="ANH50" s="952"/>
      <c r="ANI50" s="952"/>
      <c r="ANJ50" s="952"/>
      <c r="ANK50" s="952"/>
      <c r="ANL50" s="952"/>
      <c r="ANM50" s="952"/>
      <c r="ANN50" s="952"/>
      <c r="ANO50" s="952"/>
      <c r="ANP50" s="952"/>
      <c r="ANQ50" s="952"/>
      <c r="ANR50" s="952"/>
      <c r="ANS50" s="952"/>
      <c r="ANT50" s="952"/>
      <c r="ANU50" s="952"/>
      <c r="ANV50" s="952"/>
      <c r="ANW50" s="952"/>
      <c r="ANX50" s="952"/>
      <c r="ANY50" s="952"/>
      <c r="ANZ50" s="952"/>
      <c r="AOA50" s="952"/>
      <c r="AOB50" s="952"/>
      <c r="AOC50" s="952"/>
      <c r="AOD50" s="952"/>
      <c r="AOE50" s="952"/>
      <c r="AOF50" s="952"/>
      <c r="AOG50" s="952"/>
      <c r="AOH50" s="952"/>
      <c r="AOI50" s="952"/>
      <c r="AOJ50" s="952"/>
      <c r="AOK50" s="952"/>
      <c r="AOL50" s="952"/>
      <c r="AOM50" s="952"/>
      <c r="AON50" s="952"/>
      <c r="AOO50" s="952"/>
      <c r="AOP50" s="952"/>
      <c r="AOQ50" s="952"/>
      <c r="AOR50" s="952"/>
      <c r="AOS50" s="952"/>
      <c r="AOT50" s="952"/>
      <c r="AOU50" s="952"/>
      <c r="AOV50" s="952"/>
      <c r="AOW50" s="952"/>
      <c r="AOX50" s="952"/>
      <c r="AOY50" s="952"/>
      <c r="AOZ50" s="952"/>
      <c r="APA50" s="952"/>
      <c r="APB50" s="952"/>
      <c r="APC50" s="952"/>
      <c r="APD50" s="952"/>
      <c r="APE50" s="952"/>
      <c r="APF50" s="952"/>
      <c r="APG50" s="952"/>
      <c r="APH50" s="952"/>
      <c r="API50" s="952"/>
      <c r="APJ50" s="952"/>
      <c r="APK50" s="952"/>
      <c r="APL50" s="952"/>
      <c r="APM50" s="952"/>
      <c r="APN50" s="952"/>
      <c r="APO50" s="952"/>
      <c r="APP50" s="952"/>
      <c r="APQ50" s="952"/>
      <c r="APR50" s="952"/>
      <c r="APS50" s="952"/>
      <c r="APT50" s="952"/>
      <c r="APU50" s="952"/>
      <c r="APV50" s="952"/>
      <c r="APW50" s="952"/>
      <c r="APX50" s="952"/>
      <c r="APY50" s="952"/>
      <c r="APZ50" s="952"/>
      <c r="AQA50" s="952"/>
      <c r="AQB50" s="952"/>
      <c r="AQC50" s="952"/>
      <c r="AQD50" s="952"/>
      <c r="AQE50" s="952"/>
      <c r="AQF50" s="952"/>
      <c r="AQG50" s="952"/>
      <c r="AQH50" s="952"/>
      <c r="AQI50" s="952"/>
      <c r="AQJ50" s="952"/>
      <c r="AQK50" s="952"/>
      <c r="AQL50" s="952"/>
      <c r="AQM50" s="952"/>
      <c r="AQN50" s="952"/>
      <c r="AQO50" s="952"/>
      <c r="AQP50" s="952"/>
      <c r="AQQ50" s="952"/>
      <c r="AQR50" s="952"/>
      <c r="AQS50" s="952"/>
      <c r="AQT50" s="952"/>
      <c r="AQU50" s="952"/>
      <c r="AQV50" s="952"/>
      <c r="AQW50" s="952"/>
      <c r="AQX50" s="952"/>
      <c r="AQY50" s="952"/>
      <c r="AQZ50" s="952"/>
      <c r="ARA50" s="952"/>
      <c r="ARB50" s="952"/>
      <c r="ARC50" s="952"/>
      <c r="ARD50" s="952"/>
      <c r="ARE50" s="952"/>
      <c r="ARF50" s="952"/>
      <c r="ARG50" s="952"/>
      <c r="ARH50" s="952"/>
      <c r="ARI50" s="952"/>
      <c r="ARJ50" s="952"/>
      <c r="ARK50" s="952"/>
      <c r="ARL50" s="952"/>
      <c r="ARM50" s="952"/>
      <c r="ARN50" s="952"/>
      <c r="ARO50" s="952"/>
      <c r="ARP50" s="952"/>
      <c r="ARQ50" s="952"/>
      <c r="ARR50" s="952"/>
      <c r="ARS50" s="952"/>
      <c r="ART50" s="952"/>
      <c r="ARU50" s="952"/>
      <c r="ARV50" s="952"/>
      <c r="ARW50" s="952"/>
      <c r="ARX50" s="952"/>
      <c r="ARY50" s="952"/>
      <c r="ARZ50" s="952"/>
      <c r="ASA50" s="952"/>
      <c r="ASB50" s="952"/>
      <c r="ASC50" s="952"/>
      <c r="ASD50" s="952"/>
      <c r="ASE50" s="952"/>
      <c r="ASF50" s="952"/>
      <c r="ASG50" s="952"/>
      <c r="ASH50" s="952"/>
      <c r="ASI50" s="952"/>
      <c r="ASJ50" s="952"/>
      <c r="ASK50" s="952"/>
      <c r="ASL50" s="952"/>
      <c r="ASM50" s="952"/>
      <c r="ASN50" s="952"/>
      <c r="ASO50" s="952"/>
      <c r="ASP50" s="952"/>
      <c r="ASQ50" s="952"/>
      <c r="ASR50" s="952"/>
      <c r="ASS50" s="952"/>
      <c r="AST50" s="952"/>
      <c r="ASU50" s="952"/>
      <c r="ASV50" s="952"/>
      <c r="ASW50" s="952"/>
      <c r="ASX50" s="952"/>
      <c r="ASY50" s="952"/>
      <c r="ASZ50" s="952"/>
      <c r="ATA50" s="952"/>
      <c r="ATB50" s="952"/>
      <c r="ATC50" s="952"/>
      <c r="ATD50" s="952"/>
      <c r="ATE50" s="952"/>
      <c r="ATF50" s="952"/>
      <c r="ATG50" s="952"/>
      <c r="ATH50" s="952"/>
      <c r="ATI50" s="952"/>
      <c r="ATJ50" s="952"/>
      <c r="ATK50" s="952"/>
      <c r="ATL50" s="952"/>
      <c r="ATM50" s="952"/>
      <c r="ATN50" s="952"/>
      <c r="ATO50" s="952"/>
      <c r="ATP50" s="952"/>
      <c r="ATQ50" s="952"/>
      <c r="ATR50" s="952"/>
      <c r="ATS50" s="952"/>
      <c r="ATT50" s="952"/>
      <c r="ATU50" s="952"/>
      <c r="ATV50" s="952"/>
      <c r="ATW50" s="952"/>
      <c r="ATX50" s="952"/>
      <c r="ATY50" s="952"/>
      <c r="ATZ50" s="952"/>
      <c r="AUA50" s="952"/>
      <c r="AUB50" s="952"/>
      <c r="AUC50" s="952"/>
      <c r="AUD50" s="952"/>
      <c r="AUE50" s="952"/>
      <c r="AUF50" s="952"/>
      <c r="AUG50" s="952"/>
      <c r="AUH50" s="952"/>
      <c r="AUI50" s="952"/>
      <c r="AUJ50" s="952"/>
      <c r="AUK50" s="952"/>
      <c r="AUL50" s="952"/>
      <c r="AUM50" s="952"/>
      <c r="AUN50" s="952"/>
      <c r="AUO50" s="952"/>
      <c r="AUP50" s="952"/>
      <c r="AUQ50" s="952"/>
      <c r="AUR50" s="952"/>
      <c r="AUS50" s="952"/>
      <c r="AUT50" s="952"/>
      <c r="AUU50" s="952"/>
      <c r="AUV50" s="952"/>
      <c r="AUW50" s="952"/>
      <c r="AUX50" s="952"/>
      <c r="AUY50" s="952"/>
      <c r="AUZ50" s="952"/>
      <c r="AVA50" s="952"/>
      <c r="AVB50" s="952"/>
      <c r="AVC50" s="952"/>
      <c r="AVD50" s="952"/>
      <c r="AVE50" s="952"/>
      <c r="AVF50" s="952"/>
      <c r="AVG50" s="952"/>
      <c r="AVH50" s="952"/>
      <c r="AVI50" s="952"/>
      <c r="AVJ50" s="952"/>
      <c r="AVK50" s="952"/>
      <c r="AVL50" s="952"/>
      <c r="AVM50" s="952"/>
      <c r="AVN50" s="952"/>
      <c r="AVO50" s="952"/>
      <c r="AVP50" s="952"/>
      <c r="AVQ50" s="952"/>
      <c r="AVR50" s="952"/>
      <c r="AVS50" s="952"/>
      <c r="AVT50" s="952"/>
      <c r="AVU50" s="952"/>
      <c r="AVV50" s="952"/>
      <c r="AVW50" s="952"/>
      <c r="AVX50" s="952"/>
      <c r="AVY50" s="952"/>
      <c r="AVZ50" s="952"/>
      <c r="AWA50" s="952"/>
      <c r="AWB50" s="952"/>
      <c r="AWC50" s="952"/>
      <c r="AWD50" s="952"/>
      <c r="AWE50" s="952"/>
      <c r="AWF50" s="952"/>
      <c r="AWG50" s="952"/>
      <c r="AWH50" s="952"/>
      <c r="AWI50" s="952"/>
      <c r="AWJ50" s="952"/>
      <c r="AWK50" s="952"/>
      <c r="AWL50" s="952"/>
      <c r="AWM50" s="952"/>
      <c r="AWN50" s="952"/>
      <c r="AWO50" s="952"/>
      <c r="AWP50" s="952"/>
      <c r="AWQ50" s="952"/>
      <c r="AWR50" s="952"/>
      <c r="AWS50" s="952"/>
      <c r="AWT50" s="952"/>
      <c r="AWU50" s="952"/>
      <c r="AWV50" s="952"/>
      <c r="AWW50" s="952"/>
      <c r="AWX50" s="952"/>
      <c r="AWY50" s="952"/>
      <c r="AWZ50" s="952"/>
      <c r="AXA50" s="952"/>
      <c r="AXB50" s="952"/>
      <c r="AXC50" s="952"/>
      <c r="AXD50" s="952"/>
      <c r="AXE50" s="952"/>
      <c r="AXF50" s="952"/>
      <c r="AXG50" s="952"/>
      <c r="AXH50" s="952"/>
      <c r="AXI50" s="952"/>
      <c r="AXJ50" s="952"/>
      <c r="AXK50" s="952"/>
      <c r="AXL50" s="952"/>
      <c r="AXM50" s="952"/>
      <c r="AXN50" s="952"/>
      <c r="AXO50" s="952"/>
      <c r="AXP50" s="952"/>
      <c r="AXQ50" s="952"/>
      <c r="AXR50" s="952"/>
      <c r="AXS50" s="952"/>
      <c r="AXT50" s="952"/>
      <c r="AXU50" s="952"/>
      <c r="AXV50" s="952"/>
      <c r="AXW50" s="952"/>
      <c r="AXX50" s="952"/>
      <c r="AXY50" s="952"/>
      <c r="AXZ50" s="952"/>
      <c r="AYA50" s="952"/>
      <c r="AYB50" s="952"/>
      <c r="AYC50" s="952"/>
      <c r="AYD50" s="952"/>
      <c r="AYE50" s="952"/>
      <c r="AYF50" s="952"/>
      <c r="AYG50" s="952"/>
      <c r="AYH50" s="952"/>
      <c r="AYI50" s="952"/>
      <c r="AYJ50" s="952"/>
      <c r="AYK50" s="952"/>
      <c r="AYL50" s="952"/>
      <c r="AYM50" s="952"/>
      <c r="AYN50" s="952"/>
      <c r="AYO50" s="952"/>
      <c r="AYP50" s="952"/>
      <c r="AYQ50" s="952"/>
      <c r="AYR50" s="952"/>
      <c r="AYS50" s="952"/>
      <c r="AYT50" s="952"/>
      <c r="AYU50" s="952"/>
      <c r="AYV50" s="952"/>
      <c r="AYW50" s="952"/>
      <c r="AYX50" s="952"/>
      <c r="AYY50" s="952"/>
      <c r="AYZ50" s="952"/>
      <c r="AZA50" s="952"/>
      <c r="AZB50" s="952"/>
      <c r="AZC50" s="952"/>
      <c r="AZD50" s="952"/>
      <c r="AZE50" s="952"/>
      <c r="AZF50" s="952"/>
      <c r="AZG50" s="952"/>
      <c r="AZH50" s="952"/>
      <c r="AZI50" s="952"/>
      <c r="AZJ50" s="952"/>
      <c r="AZK50" s="952"/>
      <c r="AZL50" s="952"/>
      <c r="AZM50" s="952"/>
      <c r="AZN50" s="952"/>
      <c r="AZO50" s="952"/>
      <c r="AZP50" s="952"/>
      <c r="AZQ50" s="952"/>
      <c r="AZR50" s="952"/>
      <c r="AZS50" s="952"/>
      <c r="AZT50" s="952"/>
      <c r="AZU50" s="952"/>
      <c r="AZV50" s="952"/>
      <c r="AZW50" s="952"/>
      <c r="AZX50" s="952"/>
      <c r="AZY50" s="952"/>
      <c r="AZZ50" s="952"/>
      <c r="BAA50" s="952"/>
      <c r="BAB50" s="952"/>
      <c r="BAC50" s="952"/>
      <c r="BAD50" s="952"/>
      <c r="BAE50" s="952"/>
      <c r="BAF50" s="952"/>
      <c r="BAG50" s="952"/>
      <c r="BAH50" s="952"/>
      <c r="BAI50" s="952"/>
      <c r="BAJ50" s="952"/>
      <c r="BAK50" s="952"/>
      <c r="BAL50" s="952"/>
      <c r="BAM50" s="952"/>
      <c r="BAN50" s="952"/>
      <c r="BAO50" s="952"/>
      <c r="BAP50" s="952"/>
      <c r="BAQ50" s="952"/>
      <c r="BAR50" s="952"/>
      <c r="BAS50" s="952"/>
      <c r="BAT50" s="952"/>
      <c r="BAU50" s="952"/>
      <c r="BAV50" s="952"/>
      <c r="BAW50" s="952"/>
      <c r="BAX50" s="952"/>
      <c r="BAY50" s="952"/>
      <c r="BAZ50" s="952"/>
      <c r="BBA50" s="952"/>
      <c r="BBB50" s="952"/>
      <c r="BBC50" s="952"/>
      <c r="BBD50" s="952"/>
      <c r="BBE50" s="952"/>
      <c r="BBF50" s="952"/>
      <c r="BBG50" s="952"/>
      <c r="BBH50" s="952"/>
      <c r="BBI50" s="952"/>
      <c r="BBJ50" s="952"/>
      <c r="BBK50" s="952"/>
      <c r="BBL50" s="952"/>
      <c r="BBM50" s="952"/>
      <c r="BBN50" s="952"/>
      <c r="BBO50" s="952"/>
      <c r="BBP50" s="952"/>
      <c r="BBQ50" s="952"/>
      <c r="BBR50" s="952"/>
      <c r="BBS50" s="952"/>
      <c r="BBT50" s="952"/>
      <c r="BBU50" s="952"/>
      <c r="BBV50" s="952"/>
      <c r="BBW50" s="952"/>
      <c r="BBX50" s="952"/>
      <c r="BBY50" s="952"/>
      <c r="BBZ50" s="952"/>
      <c r="BCA50" s="952"/>
      <c r="BCB50" s="952"/>
      <c r="BCC50" s="952"/>
      <c r="BCD50" s="952"/>
      <c r="BCE50" s="952"/>
      <c r="BCF50" s="952"/>
      <c r="BCG50" s="952"/>
      <c r="BCH50" s="952"/>
      <c r="BCI50" s="952"/>
      <c r="BCJ50" s="952"/>
      <c r="BCK50" s="952"/>
      <c r="BCL50" s="952"/>
      <c r="BCM50" s="952"/>
      <c r="BCN50" s="952"/>
      <c r="BCO50" s="952"/>
      <c r="BCP50" s="952"/>
      <c r="BCQ50" s="952"/>
      <c r="BCR50" s="952"/>
      <c r="BCS50" s="952"/>
      <c r="BCT50" s="952"/>
      <c r="BCU50" s="952"/>
      <c r="BCV50" s="952"/>
      <c r="BCW50" s="952"/>
      <c r="BCX50" s="952"/>
      <c r="BCY50" s="952"/>
      <c r="BCZ50" s="952"/>
      <c r="BDA50" s="952"/>
      <c r="BDB50" s="952"/>
      <c r="BDC50" s="952"/>
      <c r="BDD50" s="952"/>
      <c r="BDE50" s="952"/>
      <c r="BDF50" s="952"/>
      <c r="BDG50" s="952"/>
      <c r="BDH50" s="952"/>
      <c r="BDI50" s="952"/>
      <c r="BDJ50" s="952"/>
      <c r="BDK50" s="952"/>
      <c r="BDL50" s="952"/>
      <c r="BDM50" s="952"/>
      <c r="BDN50" s="952"/>
      <c r="BDO50" s="952"/>
      <c r="BDP50" s="952"/>
      <c r="BDQ50" s="952"/>
      <c r="BDR50" s="952"/>
      <c r="BDS50" s="952"/>
      <c r="BDT50" s="952"/>
      <c r="BDU50" s="952"/>
      <c r="BDV50" s="952"/>
      <c r="BDW50" s="952"/>
      <c r="BDX50" s="952"/>
      <c r="BDY50" s="952"/>
      <c r="BDZ50" s="952"/>
      <c r="BEA50" s="952"/>
      <c r="BEB50" s="952"/>
      <c r="BEC50" s="952"/>
      <c r="BED50" s="952"/>
      <c r="BEE50" s="952"/>
      <c r="BEF50" s="952"/>
      <c r="BEG50" s="952"/>
      <c r="BEH50" s="952"/>
      <c r="BEI50" s="952"/>
      <c r="BEJ50" s="952"/>
      <c r="BEK50" s="952"/>
      <c r="BEL50" s="952"/>
      <c r="BEM50" s="952"/>
      <c r="BEN50" s="952"/>
      <c r="BEO50" s="952"/>
      <c r="BEP50" s="952"/>
      <c r="BEQ50" s="952"/>
      <c r="BER50" s="952"/>
      <c r="BES50" s="952"/>
      <c r="BET50" s="952"/>
      <c r="BEU50" s="952"/>
      <c r="BEV50" s="952"/>
      <c r="BEW50" s="952"/>
      <c r="BEX50" s="952"/>
      <c r="BEY50" s="952"/>
      <c r="BEZ50" s="952"/>
      <c r="BFA50" s="952"/>
      <c r="BFB50" s="952"/>
      <c r="BFC50" s="952"/>
      <c r="BFD50" s="952"/>
      <c r="BFE50" s="952"/>
      <c r="BFF50" s="952"/>
      <c r="BFG50" s="952"/>
      <c r="BFH50" s="952"/>
      <c r="BFI50" s="952"/>
      <c r="BFJ50" s="952"/>
      <c r="BFK50" s="952"/>
      <c r="BFL50" s="952"/>
      <c r="BFM50" s="952"/>
      <c r="BFN50" s="952"/>
      <c r="BFO50" s="952"/>
      <c r="BFP50" s="952"/>
      <c r="BFQ50" s="952"/>
      <c r="BFR50" s="952"/>
      <c r="BFS50" s="952"/>
      <c r="BFT50" s="952"/>
      <c r="BFU50" s="952"/>
      <c r="BFV50" s="952"/>
      <c r="BFW50" s="952"/>
      <c r="BFX50" s="952"/>
      <c r="BFY50" s="952"/>
      <c r="BFZ50" s="952"/>
      <c r="BGA50" s="952"/>
      <c r="BGB50" s="952"/>
      <c r="BGC50" s="952"/>
      <c r="BGD50" s="952"/>
      <c r="BGE50" s="952"/>
      <c r="BGF50" s="952"/>
      <c r="BGG50" s="952"/>
      <c r="BGH50" s="952"/>
      <c r="BGI50" s="952"/>
      <c r="BGJ50" s="952"/>
      <c r="BGK50" s="952"/>
      <c r="BGL50" s="952"/>
      <c r="BGM50" s="952"/>
      <c r="BGN50" s="952"/>
      <c r="BGO50" s="952"/>
      <c r="BGP50" s="952"/>
      <c r="BGQ50" s="952"/>
      <c r="BGR50" s="952"/>
      <c r="BGS50" s="952"/>
      <c r="BGT50" s="952"/>
      <c r="BGU50" s="952"/>
      <c r="BGV50" s="952"/>
      <c r="BGW50" s="952"/>
      <c r="BGX50" s="952"/>
      <c r="BGY50" s="952"/>
      <c r="BGZ50" s="952"/>
      <c r="BHA50" s="952"/>
      <c r="BHB50" s="952"/>
      <c r="BHC50" s="952"/>
      <c r="BHD50" s="952"/>
      <c r="BHE50" s="952"/>
      <c r="BHF50" s="952"/>
      <c r="BHG50" s="952"/>
      <c r="BHH50" s="952"/>
      <c r="BHI50" s="952"/>
      <c r="BHJ50" s="952"/>
      <c r="BHK50" s="952"/>
      <c r="BHL50" s="952"/>
      <c r="BHM50" s="952"/>
      <c r="BHN50" s="952"/>
      <c r="BHO50" s="952"/>
      <c r="BHP50" s="952"/>
      <c r="BHQ50" s="952"/>
      <c r="BHR50" s="952"/>
      <c r="BHS50" s="952"/>
      <c r="BHT50" s="952"/>
      <c r="BHU50" s="952"/>
      <c r="BHV50" s="952"/>
      <c r="BHW50" s="952"/>
      <c r="BHX50" s="952"/>
      <c r="BHY50" s="952"/>
      <c r="BHZ50" s="952"/>
      <c r="BIA50" s="952"/>
      <c r="BIB50" s="952"/>
      <c r="BIC50" s="952"/>
      <c r="BID50" s="952"/>
      <c r="BIE50" s="952"/>
      <c r="BIF50" s="952"/>
      <c r="BIG50" s="952"/>
      <c r="BIH50" s="952"/>
      <c r="BII50" s="952"/>
      <c r="BIJ50" s="952"/>
      <c r="BIK50" s="952"/>
      <c r="BIL50" s="952"/>
      <c r="BIM50" s="952"/>
      <c r="BIN50" s="952"/>
      <c r="BIO50" s="952"/>
      <c r="BIP50" s="952"/>
      <c r="BIQ50" s="952"/>
      <c r="BIR50" s="952"/>
      <c r="BIS50" s="952"/>
      <c r="BIT50" s="952"/>
      <c r="BIU50" s="952"/>
      <c r="BIV50" s="952"/>
      <c r="BIW50" s="952"/>
      <c r="BIX50" s="952"/>
      <c r="BIY50" s="952"/>
      <c r="BIZ50" s="952"/>
      <c r="BJA50" s="952"/>
      <c r="BJB50" s="952"/>
      <c r="BJC50" s="952"/>
      <c r="BJD50" s="952"/>
      <c r="BJE50" s="952"/>
      <c r="BJF50" s="952"/>
      <c r="BJG50" s="952"/>
      <c r="BJH50" s="952"/>
      <c r="BJI50" s="952"/>
      <c r="BJJ50" s="952"/>
      <c r="BJK50" s="952"/>
      <c r="BJL50" s="952"/>
      <c r="BJM50" s="952"/>
      <c r="BJN50" s="952"/>
      <c r="BJO50" s="952"/>
      <c r="BJP50" s="952"/>
      <c r="BJQ50" s="952"/>
      <c r="BJR50" s="952"/>
      <c r="BJS50" s="952"/>
      <c r="BJT50" s="952"/>
      <c r="BJU50" s="952"/>
      <c r="BJV50" s="952"/>
      <c r="BJW50" s="952"/>
      <c r="BJX50" s="952"/>
      <c r="BJY50" s="952"/>
      <c r="BJZ50" s="952"/>
      <c r="BKA50" s="952"/>
      <c r="BKB50" s="952"/>
      <c r="BKC50" s="952"/>
      <c r="BKD50" s="952"/>
      <c r="BKE50" s="952"/>
      <c r="BKF50" s="952"/>
      <c r="BKG50" s="952"/>
      <c r="BKH50" s="952"/>
      <c r="BKI50" s="952"/>
      <c r="BKJ50" s="952"/>
      <c r="BKK50" s="952"/>
      <c r="BKL50" s="952"/>
      <c r="BKM50" s="952"/>
      <c r="BKN50" s="952"/>
      <c r="BKO50" s="952"/>
      <c r="BKP50" s="952"/>
      <c r="BKQ50" s="952"/>
      <c r="BKR50" s="952"/>
      <c r="BKS50" s="952"/>
      <c r="BKT50" s="952"/>
      <c r="BKU50" s="952"/>
      <c r="BKV50" s="952"/>
      <c r="BKW50" s="952"/>
      <c r="BKX50" s="952"/>
      <c r="BKY50" s="952"/>
      <c r="BKZ50" s="952"/>
      <c r="BLA50" s="952"/>
      <c r="BLB50" s="952"/>
      <c r="BLC50" s="952"/>
      <c r="BLD50" s="952"/>
      <c r="BLE50" s="952"/>
      <c r="BLF50" s="952"/>
      <c r="BLG50" s="952"/>
      <c r="BLH50" s="952"/>
      <c r="BLI50" s="952"/>
      <c r="BLJ50" s="952"/>
      <c r="BLK50" s="952"/>
      <c r="BLL50" s="952"/>
      <c r="BLM50" s="952"/>
      <c r="BLN50" s="952"/>
      <c r="BLO50" s="952"/>
      <c r="BLP50" s="952"/>
      <c r="BLQ50" s="952"/>
      <c r="BLR50" s="952"/>
      <c r="BLS50" s="952"/>
      <c r="BLT50" s="952"/>
      <c r="BLU50" s="952"/>
      <c r="BLV50" s="952"/>
      <c r="BLW50" s="952"/>
      <c r="BLX50" s="952"/>
      <c r="BLY50" s="952"/>
      <c r="BLZ50" s="952"/>
      <c r="BMA50" s="952"/>
      <c r="BMB50" s="952"/>
      <c r="BMC50" s="952"/>
      <c r="BMD50" s="952"/>
      <c r="BME50" s="952"/>
      <c r="BMF50" s="952"/>
      <c r="BMG50" s="952"/>
      <c r="BMH50" s="952"/>
      <c r="BMI50" s="952"/>
      <c r="BMJ50" s="952"/>
      <c r="BMK50" s="952"/>
      <c r="BML50" s="952"/>
      <c r="BMM50" s="952"/>
      <c r="BMN50" s="952"/>
      <c r="BMO50" s="952"/>
      <c r="BMP50" s="952"/>
      <c r="BMQ50" s="952"/>
      <c r="BMR50" s="952"/>
      <c r="BMS50" s="952"/>
      <c r="BMT50" s="952"/>
      <c r="BMU50" s="952"/>
      <c r="BMV50" s="952"/>
      <c r="BMW50" s="952"/>
      <c r="BMX50" s="952"/>
      <c r="BMY50" s="952"/>
      <c r="BMZ50" s="952"/>
      <c r="BNA50" s="952"/>
      <c r="BNB50" s="952"/>
      <c r="BNC50" s="952"/>
      <c r="BND50" s="952"/>
      <c r="BNE50" s="952"/>
      <c r="BNF50" s="952"/>
      <c r="BNG50" s="952"/>
      <c r="BNH50" s="952"/>
      <c r="BNI50" s="952"/>
      <c r="BNJ50" s="952"/>
      <c r="BNK50" s="952"/>
      <c r="BNL50" s="952"/>
      <c r="BNM50" s="952"/>
      <c r="BNN50" s="952"/>
      <c r="BNO50" s="952"/>
      <c r="BNP50" s="952"/>
      <c r="BNQ50" s="952"/>
      <c r="BNR50" s="952"/>
      <c r="BNS50" s="952"/>
      <c r="BNT50" s="952"/>
      <c r="BNU50" s="952"/>
      <c r="BNV50" s="952"/>
      <c r="BNW50" s="952"/>
      <c r="BNX50" s="952"/>
      <c r="BNY50" s="952"/>
      <c r="BNZ50" s="952"/>
      <c r="BOA50" s="952"/>
      <c r="BOB50" s="952"/>
      <c r="BOC50" s="952"/>
      <c r="BOD50" s="952"/>
      <c r="BOE50" s="952"/>
      <c r="BOF50" s="952"/>
      <c r="BOG50" s="952"/>
      <c r="BOH50" s="952"/>
      <c r="BOI50" s="952"/>
      <c r="BOJ50" s="952"/>
      <c r="BOK50" s="952"/>
      <c r="BOL50" s="952"/>
      <c r="BOM50" s="952"/>
      <c r="BON50" s="952"/>
      <c r="BOO50" s="952"/>
      <c r="BOP50" s="952"/>
      <c r="BOQ50" s="952"/>
      <c r="BOR50" s="952"/>
      <c r="BOS50" s="952"/>
      <c r="BOT50" s="952"/>
      <c r="BOU50" s="952"/>
      <c r="BOV50" s="952"/>
      <c r="BOW50" s="952"/>
      <c r="BOX50" s="952"/>
      <c r="BOY50" s="952"/>
      <c r="BOZ50" s="952"/>
      <c r="BPA50" s="952"/>
      <c r="BPB50" s="952"/>
      <c r="BPC50" s="952"/>
      <c r="BPD50" s="952"/>
      <c r="BPE50" s="952"/>
      <c r="BPF50" s="952"/>
      <c r="BPG50" s="952"/>
      <c r="BPH50" s="952"/>
      <c r="BPI50" s="952"/>
      <c r="BPJ50" s="952"/>
      <c r="BPK50" s="952"/>
      <c r="BPL50" s="952"/>
      <c r="BPM50" s="952"/>
      <c r="BPN50" s="952"/>
      <c r="BPO50" s="952"/>
      <c r="BPP50" s="952"/>
      <c r="BPQ50" s="952"/>
      <c r="BPR50" s="952"/>
      <c r="BPS50" s="952"/>
      <c r="BPT50" s="952"/>
      <c r="BPU50" s="952"/>
      <c r="BPV50" s="952"/>
      <c r="BPW50" s="952"/>
      <c r="BPX50" s="952"/>
      <c r="BPY50" s="952"/>
      <c r="BPZ50" s="952"/>
      <c r="BQA50" s="952"/>
      <c r="BQB50" s="952"/>
      <c r="BQC50" s="952"/>
      <c r="BQD50" s="952"/>
      <c r="BQE50" s="952"/>
      <c r="BQF50" s="952"/>
      <c r="BQG50" s="952"/>
      <c r="BQH50" s="952"/>
      <c r="BQI50" s="952"/>
      <c r="BQJ50" s="952"/>
      <c r="BQK50" s="952"/>
      <c r="BQL50" s="952"/>
      <c r="BQM50" s="952"/>
      <c r="BQN50" s="952"/>
      <c r="BQO50" s="952"/>
      <c r="BQP50" s="952"/>
      <c r="BQQ50" s="952"/>
      <c r="BQR50" s="952"/>
      <c r="BQS50" s="952"/>
      <c r="BQT50" s="952"/>
      <c r="BQU50" s="952"/>
      <c r="BQV50" s="952"/>
      <c r="BQW50" s="952"/>
      <c r="BQX50" s="952"/>
      <c r="BQY50" s="952"/>
      <c r="BQZ50" s="952"/>
      <c r="BRA50" s="952"/>
      <c r="BRB50" s="952"/>
      <c r="BRC50" s="952"/>
      <c r="BRD50" s="952"/>
      <c r="BRE50" s="952"/>
      <c r="BRF50" s="952"/>
      <c r="BRG50" s="952"/>
      <c r="BRH50" s="952"/>
      <c r="BRI50" s="952"/>
      <c r="BRJ50" s="952"/>
      <c r="BRK50" s="952"/>
      <c r="BRL50" s="952"/>
      <c r="BRM50" s="952"/>
      <c r="BRN50" s="952"/>
      <c r="BRO50" s="952"/>
      <c r="BRP50" s="952"/>
      <c r="BRQ50" s="952"/>
      <c r="BRR50" s="952"/>
      <c r="BRS50" s="952"/>
      <c r="BRT50" s="952"/>
      <c r="BRU50" s="952"/>
      <c r="BRV50" s="952"/>
      <c r="BRW50" s="952"/>
      <c r="BRX50" s="952"/>
      <c r="BRY50" s="952"/>
      <c r="BRZ50" s="952"/>
      <c r="BSA50" s="952"/>
      <c r="BSB50" s="952"/>
      <c r="BSC50" s="952"/>
      <c r="BSD50" s="952"/>
      <c r="BSE50" s="952"/>
      <c r="BSF50" s="952"/>
      <c r="BSG50" s="952"/>
      <c r="BSH50" s="952"/>
      <c r="BSI50" s="952"/>
      <c r="BSJ50" s="952"/>
      <c r="BSK50" s="952"/>
      <c r="BSL50" s="952"/>
      <c r="BSM50" s="952"/>
      <c r="BSN50" s="952"/>
      <c r="BSO50" s="952"/>
      <c r="BSP50" s="952"/>
      <c r="BSQ50" s="952"/>
      <c r="BSR50" s="952"/>
      <c r="BSS50" s="952"/>
      <c r="BST50" s="952"/>
      <c r="BSU50" s="952"/>
      <c r="BSV50" s="952"/>
      <c r="BSW50" s="952"/>
      <c r="BSX50" s="952"/>
      <c r="BSY50" s="952"/>
      <c r="BSZ50" s="952"/>
      <c r="BTA50" s="952"/>
      <c r="BTB50" s="952"/>
      <c r="BTC50" s="952"/>
      <c r="BTD50" s="952"/>
      <c r="BTE50" s="952"/>
      <c r="BTF50" s="952"/>
      <c r="BTG50" s="952"/>
      <c r="BTH50" s="952"/>
      <c r="BTI50" s="952"/>
      <c r="BTJ50" s="952"/>
      <c r="BTK50" s="952"/>
      <c r="BTL50" s="952"/>
      <c r="BTM50" s="952"/>
      <c r="BTN50" s="952"/>
      <c r="BTO50" s="952"/>
      <c r="BTP50" s="952"/>
      <c r="BTQ50" s="952"/>
      <c r="BTR50" s="952"/>
      <c r="BTS50" s="952"/>
      <c r="BTT50" s="952"/>
      <c r="BTU50" s="952"/>
      <c r="BTV50" s="952"/>
      <c r="BTW50" s="952"/>
      <c r="BTX50" s="952"/>
      <c r="BTY50" s="952"/>
      <c r="BTZ50" s="952"/>
      <c r="BUA50" s="952"/>
      <c r="BUB50" s="952"/>
      <c r="BUC50" s="952"/>
      <c r="BUD50" s="952"/>
      <c r="BUE50" s="952"/>
      <c r="BUF50" s="952"/>
      <c r="BUG50" s="952"/>
      <c r="BUH50" s="952"/>
      <c r="BUI50" s="952"/>
      <c r="BUJ50" s="952"/>
      <c r="BUK50" s="952"/>
      <c r="BUL50" s="952"/>
      <c r="BUM50" s="952"/>
      <c r="BUN50" s="952"/>
      <c r="BUO50" s="952"/>
      <c r="BUP50" s="952"/>
      <c r="BUQ50" s="952"/>
      <c r="BUR50" s="952"/>
      <c r="BUS50" s="952"/>
      <c r="BUT50" s="952"/>
      <c r="BUU50" s="952"/>
      <c r="BUV50" s="952"/>
      <c r="BUW50" s="952"/>
      <c r="BUX50" s="952"/>
      <c r="BUY50" s="952"/>
      <c r="BUZ50" s="952"/>
      <c r="BVA50" s="952"/>
      <c r="BVB50" s="952"/>
      <c r="BVC50" s="952"/>
      <c r="BVD50" s="952"/>
      <c r="BVE50" s="952"/>
      <c r="BVF50" s="952"/>
      <c r="BVG50" s="952"/>
      <c r="BVH50" s="952"/>
      <c r="BVI50" s="952"/>
      <c r="BVJ50" s="952"/>
      <c r="BVK50" s="952"/>
      <c r="BVL50" s="952"/>
      <c r="BVM50" s="952"/>
      <c r="BVN50" s="952"/>
      <c r="BVO50" s="952"/>
      <c r="BVP50" s="952"/>
      <c r="BVQ50" s="952"/>
      <c r="BVR50" s="952"/>
      <c r="BVS50" s="952"/>
      <c r="BVT50" s="952"/>
      <c r="BVU50" s="952"/>
      <c r="BVV50" s="952"/>
      <c r="BVW50" s="952"/>
      <c r="BVX50" s="952"/>
      <c r="BVY50" s="952"/>
      <c r="BVZ50" s="952"/>
      <c r="BWA50" s="952"/>
      <c r="BWB50" s="952"/>
      <c r="BWC50" s="952"/>
      <c r="BWD50" s="952"/>
      <c r="BWE50" s="952"/>
      <c r="BWF50" s="952"/>
      <c r="BWG50" s="952"/>
      <c r="BWH50" s="952"/>
      <c r="BWI50" s="952"/>
      <c r="BWJ50" s="952"/>
      <c r="BWK50" s="952"/>
      <c r="BWL50" s="952"/>
      <c r="BWM50" s="952"/>
      <c r="BWN50" s="952"/>
      <c r="BWO50" s="952"/>
      <c r="BWP50" s="952"/>
      <c r="BWQ50" s="952"/>
      <c r="BWR50" s="952"/>
      <c r="BWS50" s="952"/>
      <c r="BWT50" s="952"/>
      <c r="BWU50" s="952"/>
      <c r="BWV50" s="952"/>
      <c r="BWW50" s="952"/>
      <c r="BWX50" s="952"/>
      <c r="BWY50" s="952"/>
      <c r="BWZ50" s="952"/>
      <c r="BXA50" s="952"/>
      <c r="BXB50" s="952"/>
      <c r="BXC50" s="952"/>
      <c r="BXD50" s="952"/>
      <c r="BXE50" s="952"/>
      <c r="BXF50" s="952"/>
      <c r="BXG50" s="952"/>
      <c r="BXH50" s="952"/>
      <c r="BXI50" s="952"/>
      <c r="BXJ50" s="952"/>
      <c r="BXK50" s="952"/>
      <c r="BXL50" s="952"/>
      <c r="BXM50" s="952"/>
      <c r="BXN50" s="952"/>
      <c r="BXO50" s="952"/>
      <c r="BXP50" s="952"/>
      <c r="BXQ50" s="952"/>
      <c r="BXR50" s="952"/>
      <c r="BXS50" s="952"/>
      <c r="BXT50" s="952"/>
      <c r="BXU50" s="952"/>
      <c r="BXV50" s="952"/>
      <c r="BXW50" s="952"/>
      <c r="BXX50" s="952"/>
      <c r="BXY50" s="952"/>
      <c r="BXZ50" s="952"/>
      <c r="BYA50" s="952"/>
      <c r="BYB50" s="952"/>
      <c r="BYC50" s="952"/>
      <c r="BYD50" s="952"/>
      <c r="BYE50" s="952"/>
      <c r="BYF50" s="952"/>
      <c r="BYG50" s="952"/>
      <c r="BYH50" s="952"/>
      <c r="BYI50" s="952"/>
      <c r="BYJ50" s="952"/>
      <c r="BYK50" s="952"/>
      <c r="BYL50" s="952"/>
      <c r="BYM50" s="952"/>
      <c r="BYN50" s="952"/>
      <c r="BYO50" s="952"/>
      <c r="BYP50" s="952"/>
      <c r="BYQ50" s="952"/>
      <c r="BYR50" s="952"/>
      <c r="BYS50" s="952"/>
      <c r="BYT50" s="952"/>
      <c r="BYU50" s="952"/>
      <c r="BYV50" s="952"/>
      <c r="BYW50" s="952"/>
      <c r="BYX50" s="952"/>
      <c r="BYY50" s="952"/>
      <c r="BYZ50" s="952"/>
      <c r="BZA50" s="952"/>
      <c r="BZB50" s="952"/>
      <c r="BZC50" s="952"/>
      <c r="BZD50" s="952"/>
      <c r="BZE50" s="952"/>
      <c r="BZF50" s="952"/>
      <c r="BZG50" s="952"/>
      <c r="BZH50" s="952"/>
      <c r="BZI50" s="952"/>
      <c r="BZJ50" s="952"/>
      <c r="BZK50" s="952"/>
      <c r="BZL50" s="952"/>
      <c r="BZM50" s="952"/>
      <c r="BZN50" s="952"/>
      <c r="BZO50" s="952"/>
      <c r="BZP50" s="952"/>
      <c r="BZQ50" s="952"/>
      <c r="BZR50" s="952"/>
      <c r="BZS50" s="952"/>
      <c r="BZT50" s="952"/>
      <c r="BZU50" s="952"/>
      <c r="BZV50" s="952"/>
      <c r="BZW50" s="952"/>
      <c r="BZX50" s="952"/>
      <c r="BZY50" s="952"/>
      <c r="BZZ50" s="952"/>
      <c r="CAA50" s="952"/>
      <c r="CAB50" s="952"/>
      <c r="CAC50" s="952"/>
      <c r="CAD50" s="952"/>
      <c r="CAE50" s="952"/>
      <c r="CAF50" s="952"/>
      <c r="CAG50" s="952"/>
      <c r="CAH50" s="952"/>
      <c r="CAI50" s="952"/>
      <c r="CAJ50" s="952"/>
      <c r="CAK50" s="952"/>
      <c r="CAL50" s="952"/>
      <c r="CAM50" s="952"/>
      <c r="CAN50" s="952"/>
      <c r="CAO50" s="952"/>
      <c r="CAP50" s="952"/>
      <c r="CAQ50" s="952"/>
      <c r="CAR50" s="952"/>
      <c r="CAS50" s="952"/>
      <c r="CAT50" s="952"/>
      <c r="CAU50" s="952"/>
      <c r="CAV50" s="952"/>
      <c r="CAW50" s="952"/>
      <c r="CAX50" s="952"/>
      <c r="CAY50" s="952"/>
      <c r="CAZ50" s="952"/>
      <c r="CBA50" s="952"/>
      <c r="CBB50" s="952"/>
      <c r="CBC50" s="952"/>
      <c r="CBD50" s="952"/>
      <c r="CBE50" s="952"/>
      <c r="CBF50" s="952"/>
      <c r="CBG50" s="952"/>
      <c r="CBH50" s="952"/>
      <c r="CBI50" s="952"/>
      <c r="CBJ50" s="952"/>
      <c r="CBK50" s="952"/>
      <c r="CBL50" s="952"/>
      <c r="CBM50" s="952"/>
      <c r="CBN50" s="952"/>
      <c r="CBO50" s="952"/>
      <c r="CBP50" s="952"/>
      <c r="CBQ50" s="952"/>
      <c r="CBR50" s="952"/>
      <c r="CBS50" s="952"/>
      <c r="CBT50" s="952"/>
      <c r="CBU50" s="952"/>
      <c r="CBV50" s="952"/>
      <c r="CBW50" s="952"/>
      <c r="CBX50" s="952"/>
      <c r="CBY50" s="952"/>
      <c r="CBZ50" s="952"/>
      <c r="CCA50" s="952"/>
      <c r="CCB50" s="952"/>
      <c r="CCC50" s="952"/>
      <c r="CCD50" s="952"/>
      <c r="CCE50" s="952"/>
      <c r="CCF50" s="952"/>
      <c r="CCG50" s="952"/>
      <c r="CCH50" s="952"/>
      <c r="CCI50" s="952"/>
      <c r="CCJ50" s="952"/>
      <c r="CCK50" s="952"/>
      <c r="CCL50" s="952"/>
      <c r="CCM50" s="952"/>
      <c r="CCN50" s="952"/>
      <c r="CCO50" s="952"/>
      <c r="CCP50" s="952"/>
      <c r="CCQ50" s="952"/>
      <c r="CCR50" s="952"/>
      <c r="CCS50" s="952"/>
      <c r="CCT50" s="952"/>
      <c r="CCU50" s="952"/>
      <c r="CCV50" s="952"/>
      <c r="CCW50" s="952"/>
      <c r="CCX50" s="952"/>
      <c r="CCY50" s="952"/>
      <c r="CCZ50" s="952"/>
      <c r="CDA50" s="952"/>
      <c r="CDB50" s="952"/>
      <c r="CDC50" s="952"/>
      <c r="CDD50" s="952"/>
      <c r="CDE50" s="952"/>
      <c r="CDF50" s="952"/>
      <c r="CDG50" s="952"/>
      <c r="CDH50" s="952"/>
      <c r="CDI50" s="952"/>
      <c r="CDJ50" s="952"/>
      <c r="CDK50" s="952"/>
      <c r="CDL50" s="952"/>
      <c r="CDM50" s="952"/>
      <c r="CDN50" s="952"/>
      <c r="CDO50" s="952"/>
      <c r="CDP50" s="952"/>
      <c r="CDQ50" s="952"/>
      <c r="CDR50" s="952"/>
      <c r="CDS50" s="952"/>
      <c r="CDT50" s="952"/>
      <c r="CDU50" s="952"/>
      <c r="CDV50" s="952"/>
      <c r="CDW50" s="952"/>
      <c r="CDX50" s="952"/>
      <c r="CDY50" s="952"/>
      <c r="CDZ50" s="952"/>
      <c r="CEA50" s="952"/>
      <c r="CEB50" s="952"/>
      <c r="CEC50" s="952"/>
      <c r="CED50" s="952"/>
      <c r="CEE50" s="952"/>
      <c r="CEF50" s="952"/>
      <c r="CEG50" s="952"/>
      <c r="CEH50" s="952"/>
      <c r="CEI50" s="952"/>
      <c r="CEJ50" s="952"/>
      <c r="CEK50" s="952"/>
      <c r="CEL50" s="952"/>
      <c r="CEM50" s="952"/>
      <c r="CEN50" s="952"/>
      <c r="CEO50" s="952"/>
      <c r="CEP50" s="952"/>
      <c r="CEQ50" s="952"/>
      <c r="CER50" s="952"/>
      <c r="CES50" s="952"/>
      <c r="CET50" s="952"/>
      <c r="CEU50" s="952"/>
      <c r="CEV50" s="952"/>
      <c r="CEW50" s="952"/>
      <c r="CEX50" s="952"/>
      <c r="CEY50" s="952"/>
      <c r="CEZ50" s="952"/>
      <c r="CFA50" s="952"/>
      <c r="CFB50" s="952"/>
      <c r="CFC50" s="952"/>
      <c r="CFD50" s="952"/>
      <c r="CFE50" s="952"/>
      <c r="CFF50" s="952"/>
      <c r="CFG50" s="952"/>
      <c r="CFH50" s="952"/>
      <c r="CFI50" s="952"/>
      <c r="CFJ50" s="952"/>
      <c r="CFK50" s="952"/>
      <c r="CFL50" s="952"/>
      <c r="CFM50" s="952"/>
      <c r="CFN50" s="952"/>
      <c r="CFO50" s="952"/>
      <c r="CFP50" s="952"/>
      <c r="CFQ50" s="952"/>
      <c r="CFR50" s="952"/>
      <c r="CFS50" s="952"/>
      <c r="CFT50" s="952"/>
      <c r="CFU50" s="952"/>
      <c r="CFV50" s="952"/>
      <c r="CFW50" s="952"/>
      <c r="CFX50" s="952"/>
      <c r="CFY50" s="952"/>
      <c r="CFZ50" s="952"/>
      <c r="CGA50" s="952"/>
      <c r="CGB50" s="952"/>
      <c r="CGC50" s="952"/>
      <c r="CGD50" s="952"/>
      <c r="CGE50" s="952"/>
      <c r="CGF50" s="952"/>
      <c r="CGG50" s="952"/>
      <c r="CGH50" s="952"/>
      <c r="CGI50" s="952"/>
      <c r="CGJ50" s="952"/>
      <c r="CGK50" s="952"/>
      <c r="CGL50" s="952"/>
      <c r="CGM50" s="952"/>
      <c r="CGN50" s="952"/>
      <c r="CGO50" s="952"/>
      <c r="CGP50" s="952"/>
      <c r="CGQ50" s="952"/>
      <c r="CGR50" s="952"/>
      <c r="CGS50" s="952"/>
      <c r="CGT50" s="952"/>
      <c r="CGU50" s="952"/>
      <c r="CGV50" s="952"/>
      <c r="CGW50" s="952"/>
      <c r="CGX50" s="952"/>
      <c r="CGY50" s="952"/>
      <c r="CGZ50" s="952"/>
      <c r="CHA50" s="952"/>
      <c r="CHB50" s="952"/>
      <c r="CHC50" s="952"/>
      <c r="CHD50" s="952"/>
      <c r="CHE50" s="952"/>
      <c r="CHF50" s="952"/>
      <c r="CHG50" s="952"/>
      <c r="CHH50" s="952"/>
      <c r="CHI50" s="952"/>
      <c r="CHJ50" s="952"/>
      <c r="CHK50" s="952"/>
      <c r="CHL50" s="952"/>
      <c r="CHM50" s="952"/>
      <c r="CHN50" s="952"/>
      <c r="CHO50" s="952"/>
      <c r="CHP50" s="952"/>
      <c r="CHQ50" s="952"/>
      <c r="CHR50" s="952"/>
      <c r="CHS50" s="952"/>
      <c r="CHT50" s="952"/>
      <c r="CHU50" s="952"/>
      <c r="CHV50" s="952"/>
      <c r="CHW50" s="952"/>
      <c r="CHX50" s="952"/>
      <c r="CHY50" s="952"/>
      <c r="CHZ50" s="952"/>
      <c r="CIA50" s="952"/>
      <c r="CIB50" s="952"/>
      <c r="CIC50" s="952"/>
      <c r="CID50" s="952"/>
      <c r="CIE50" s="952"/>
      <c r="CIF50" s="952"/>
      <c r="CIG50" s="952"/>
      <c r="CIH50" s="952"/>
      <c r="CII50" s="952"/>
      <c r="CIJ50" s="952"/>
      <c r="CIK50" s="952"/>
      <c r="CIL50" s="952"/>
      <c r="CIM50" s="952"/>
      <c r="CIN50" s="952"/>
      <c r="CIO50" s="952"/>
      <c r="CIP50" s="952"/>
      <c r="CIQ50" s="952"/>
      <c r="CIR50" s="952"/>
      <c r="CIS50" s="952"/>
      <c r="CIT50" s="952"/>
      <c r="CIU50" s="952"/>
      <c r="CIV50" s="952"/>
      <c r="CIW50" s="952"/>
      <c r="CIX50" s="952"/>
      <c r="CIY50" s="952"/>
      <c r="CIZ50" s="952"/>
      <c r="CJA50" s="952"/>
      <c r="CJB50" s="952"/>
      <c r="CJC50" s="952"/>
      <c r="CJD50" s="952"/>
      <c r="CJE50" s="952"/>
      <c r="CJF50" s="952"/>
      <c r="CJG50" s="952"/>
      <c r="CJH50" s="952"/>
      <c r="CJI50" s="952"/>
      <c r="CJJ50" s="952"/>
      <c r="CJK50" s="952"/>
      <c r="CJL50" s="952"/>
      <c r="CJM50" s="952"/>
      <c r="CJN50" s="952"/>
      <c r="CJO50" s="952"/>
      <c r="CJP50" s="952"/>
      <c r="CJQ50" s="952"/>
      <c r="CJR50" s="952"/>
      <c r="CJS50" s="952"/>
      <c r="CJT50" s="952"/>
      <c r="CJU50" s="952"/>
      <c r="CJV50" s="952"/>
      <c r="CJW50" s="952"/>
      <c r="CJX50" s="952"/>
      <c r="CJY50" s="952"/>
      <c r="CJZ50" s="952"/>
      <c r="CKA50" s="952"/>
      <c r="CKB50" s="952"/>
      <c r="CKC50" s="952"/>
      <c r="CKD50" s="952"/>
      <c r="CKE50" s="952"/>
      <c r="CKF50" s="952"/>
      <c r="CKG50" s="952"/>
      <c r="CKH50" s="952"/>
      <c r="CKI50" s="952"/>
      <c r="CKJ50" s="952"/>
      <c r="CKK50" s="952"/>
      <c r="CKL50" s="952"/>
      <c r="CKM50" s="952"/>
      <c r="CKN50" s="952"/>
      <c r="CKO50" s="952"/>
      <c r="CKP50" s="952"/>
      <c r="CKQ50" s="952"/>
      <c r="CKR50" s="952"/>
      <c r="CKS50" s="952"/>
      <c r="CKT50" s="952"/>
      <c r="CKU50" s="952"/>
      <c r="CKV50" s="952"/>
      <c r="CKW50" s="952"/>
      <c r="CKX50" s="952"/>
      <c r="CKY50" s="952"/>
      <c r="CKZ50" s="952"/>
      <c r="CLA50" s="952"/>
      <c r="CLB50" s="952"/>
      <c r="CLC50" s="952"/>
      <c r="CLD50" s="952"/>
      <c r="CLE50" s="952"/>
      <c r="CLF50" s="952"/>
      <c r="CLG50" s="952"/>
      <c r="CLH50" s="952"/>
      <c r="CLI50" s="952"/>
      <c r="CLJ50" s="952"/>
      <c r="CLK50" s="952"/>
      <c r="CLL50" s="952"/>
      <c r="CLM50" s="952"/>
      <c r="CLN50" s="952"/>
      <c r="CLO50" s="952"/>
      <c r="CLP50" s="952"/>
      <c r="CLQ50" s="952"/>
      <c r="CLR50" s="952"/>
      <c r="CLS50" s="952"/>
      <c r="CLT50" s="952"/>
      <c r="CLU50" s="952"/>
      <c r="CLV50" s="952"/>
      <c r="CLW50" s="952"/>
      <c r="CLX50" s="952"/>
      <c r="CLY50" s="952"/>
      <c r="CLZ50" s="952"/>
      <c r="CMA50" s="952"/>
      <c r="CMB50" s="952"/>
      <c r="CMC50" s="952"/>
      <c r="CMD50" s="952"/>
      <c r="CME50" s="952"/>
      <c r="CMF50" s="952"/>
      <c r="CMG50" s="952"/>
      <c r="CMH50" s="952"/>
      <c r="CMI50" s="952"/>
      <c r="CMJ50" s="952"/>
      <c r="CMK50" s="952"/>
      <c r="CML50" s="952"/>
      <c r="CMM50" s="952"/>
      <c r="CMN50" s="952"/>
      <c r="CMO50" s="952"/>
      <c r="CMP50" s="952"/>
      <c r="CMQ50" s="952"/>
      <c r="CMR50" s="952"/>
      <c r="CMS50" s="952"/>
      <c r="CMT50" s="952"/>
      <c r="CMU50" s="952"/>
      <c r="CMV50" s="952"/>
      <c r="CMW50" s="952"/>
      <c r="CMX50" s="952"/>
      <c r="CMY50" s="952"/>
      <c r="CMZ50" s="952"/>
      <c r="CNA50" s="952"/>
      <c r="CNB50" s="952"/>
      <c r="CNC50" s="952"/>
      <c r="CND50" s="952"/>
      <c r="CNE50" s="952"/>
      <c r="CNF50" s="952"/>
      <c r="CNG50" s="952"/>
      <c r="CNH50" s="952"/>
      <c r="CNI50" s="952"/>
      <c r="CNJ50" s="952"/>
      <c r="CNK50" s="952"/>
      <c r="CNL50" s="952"/>
      <c r="CNM50" s="952"/>
      <c r="CNN50" s="952"/>
      <c r="CNO50" s="952"/>
      <c r="CNP50" s="952"/>
      <c r="CNQ50" s="952"/>
      <c r="CNR50" s="952"/>
      <c r="CNS50" s="952"/>
      <c r="CNT50" s="952"/>
      <c r="CNU50" s="952"/>
      <c r="CNV50" s="952"/>
      <c r="CNW50" s="952"/>
      <c r="CNX50" s="952"/>
      <c r="CNY50" s="952"/>
      <c r="CNZ50" s="952"/>
      <c r="COA50" s="952"/>
      <c r="COB50" s="952"/>
      <c r="COC50" s="952"/>
      <c r="COD50" s="952"/>
      <c r="COE50" s="952"/>
      <c r="COF50" s="952"/>
      <c r="COG50" s="952"/>
      <c r="COH50" s="952"/>
      <c r="COI50" s="952"/>
      <c r="COJ50" s="952"/>
      <c r="COK50" s="952"/>
      <c r="COL50" s="952"/>
      <c r="COM50" s="952"/>
      <c r="CON50" s="952"/>
      <c r="COO50" s="952"/>
      <c r="COP50" s="952"/>
      <c r="COQ50" s="952"/>
      <c r="COR50" s="952"/>
      <c r="COS50" s="952"/>
      <c r="COT50" s="952"/>
      <c r="COU50" s="952"/>
      <c r="COV50" s="952"/>
      <c r="COW50" s="952"/>
      <c r="COX50" s="952"/>
      <c r="COY50" s="952"/>
      <c r="COZ50" s="952"/>
      <c r="CPA50" s="952"/>
      <c r="CPB50" s="952"/>
      <c r="CPC50" s="952"/>
      <c r="CPD50" s="952"/>
      <c r="CPE50" s="952"/>
      <c r="CPF50" s="952"/>
      <c r="CPG50" s="952"/>
      <c r="CPH50" s="952"/>
      <c r="CPI50" s="952"/>
      <c r="CPJ50" s="952"/>
      <c r="CPK50" s="952"/>
      <c r="CPL50" s="952"/>
      <c r="CPM50" s="952"/>
      <c r="CPN50" s="952"/>
      <c r="CPO50" s="952"/>
      <c r="CPP50" s="952"/>
      <c r="CPQ50" s="952"/>
      <c r="CPR50" s="952"/>
      <c r="CPS50" s="952"/>
      <c r="CPT50" s="952"/>
      <c r="CPU50" s="952"/>
      <c r="CPV50" s="952"/>
      <c r="CPW50" s="952"/>
      <c r="CPX50" s="952"/>
      <c r="CPY50" s="952"/>
      <c r="CPZ50" s="952"/>
      <c r="CQA50" s="952"/>
      <c r="CQB50" s="952"/>
      <c r="CQC50" s="952"/>
      <c r="CQD50" s="952"/>
      <c r="CQE50" s="952"/>
      <c r="CQF50" s="952"/>
      <c r="CQG50" s="952"/>
      <c r="CQH50" s="952"/>
      <c r="CQI50" s="952"/>
      <c r="CQJ50" s="952"/>
      <c r="CQK50" s="952"/>
      <c r="CQL50" s="952"/>
      <c r="CQM50" s="952"/>
      <c r="CQN50" s="952"/>
      <c r="CQO50" s="952"/>
      <c r="CQP50" s="952"/>
      <c r="CQQ50" s="952"/>
      <c r="CQR50" s="952"/>
      <c r="CQS50" s="952"/>
      <c r="CQT50" s="952"/>
      <c r="CQU50" s="952"/>
      <c r="CQV50" s="952"/>
      <c r="CQW50" s="952"/>
      <c r="CQX50" s="952"/>
      <c r="CQY50" s="952"/>
      <c r="CQZ50" s="952"/>
      <c r="CRA50" s="952"/>
      <c r="CRB50" s="952"/>
      <c r="CRC50" s="952"/>
      <c r="CRD50" s="952"/>
      <c r="CRE50" s="952"/>
      <c r="CRF50" s="952"/>
      <c r="CRG50" s="952"/>
      <c r="CRH50" s="952"/>
      <c r="CRI50" s="952"/>
      <c r="CRJ50" s="952"/>
      <c r="CRK50" s="952"/>
      <c r="CRL50" s="952"/>
      <c r="CRM50" s="952"/>
      <c r="CRN50" s="952"/>
      <c r="CRO50" s="952"/>
      <c r="CRP50" s="952"/>
      <c r="CRQ50" s="952"/>
      <c r="CRR50" s="952"/>
      <c r="CRS50" s="952"/>
      <c r="CRT50" s="952"/>
      <c r="CRU50" s="952"/>
      <c r="CRV50" s="952"/>
      <c r="CRW50" s="952"/>
      <c r="CRX50" s="952"/>
      <c r="CRY50" s="952"/>
      <c r="CRZ50" s="952"/>
      <c r="CSA50" s="952"/>
      <c r="CSB50" s="952"/>
      <c r="CSC50" s="952"/>
      <c r="CSD50" s="952"/>
      <c r="CSE50" s="952"/>
      <c r="CSF50" s="952"/>
      <c r="CSG50" s="952"/>
      <c r="CSH50" s="952"/>
      <c r="CSI50" s="952"/>
      <c r="CSJ50" s="952"/>
      <c r="CSK50" s="952"/>
      <c r="CSL50" s="952"/>
      <c r="CSM50" s="952"/>
      <c r="CSN50" s="952"/>
      <c r="CSO50" s="952"/>
      <c r="CSP50" s="952"/>
      <c r="CSQ50" s="952"/>
      <c r="CSR50" s="952"/>
      <c r="CSS50" s="952"/>
      <c r="CST50" s="952"/>
      <c r="CSU50" s="952"/>
      <c r="CSV50" s="952"/>
      <c r="CSW50" s="952"/>
      <c r="CSX50" s="952"/>
      <c r="CSY50" s="952"/>
      <c r="CSZ50" s="952"/>
      <c r="CTA50" s="952"/>
      <c r="CTB50" s="952"/>
      <c r="CTC50" s="952"/>
      <c r="CTD50" s="952"/>
      <c r="CTE50" s="952"/>
      <c r="CTF50" s="952"/>
      <c r="CTG50" s="952"/>
      <c r="CTH50" s="952"/>
      <c r="CTI50" s="952"/>
      <c r="CTJ50" s="952"/>
      <c r="CTK50" s="952"/>
      <c r="CTL50" s="952"/>
      <c r="CTM50" s="952"/>
      <c r="CTN50" s="952"/>
      <c r="CTO50" s="952"/>
      <c r="CTP50" s="952"/>
      <c r="CTQ50" s="952"/>
      <c r="CTR50" s="952"/>
      <c r="CTS50" s="952"/>
      <c r="CTT50" s="952"/>
      <c r="CTU50" s="952"/>
      <c r="CTV50" s="952"/>
      <c r="CTW50" s="952"/>
      <c r="CTX50" s="952"/>
      <c r="CTY50" s="952"/>
      <c r="CTZ50" s="952"/>
      <c r="CUA50" s="952"/>
      <c r="CUB50" s="952"/>
      <c r="CUC50" s="952"/>
      <c r="CUD50" s="952"/>
      <c r="CUE50" s="952"/>
      <c r="CUF50" s="952"/>
      <c r="CUG50" s="952"/>
      <c r="CUH50" s="952"/>
      <c r="CUI50" s="952"/>
      <c r="CUJ50" s="952"/>
      <c r="CUK50" s="952"/>
      <c r="CUL50" s="952"/>
      <c r="CUM50" s="952"/>
      <c r="CUN50" s="952"/>
      <c r="CUO50" s="952"/>
      <c r="CUP50" s="952"/>
      <c r="CUQ50" s="952"/>
      <c r="CUR50" s="952"/>
      <c r="CUS50" s="952"/>
      <c r="CUT50" s="952"/>
      <c r="CUU50" s="952"/>
      <c r="CUV50" s="952"/>
      <c r="CUW50" s="952"/>
      <c r="CUX50" s="952"/>
      <c r="CUY50" s="952"/>
      <c r="CUZ50" s="952"/>
      <c r="CVA50" s="952"/>
      <c r="CVB50" s="952"/>
      <c r="CVC50" s="952"/>
      <c r="CVD50" s="952"/>
      <c r="CVE50" s="952"/>
      <c r="CVF50" s="952"/>
      <c r="CVG50" s="952"/>
      <c r="CVH50" s="952"/>
      <c r="CVI50" s="952"/>
      <c r="CVJ50" s="952"/>
      <c r="CVK50" s="952"/>
      <c r="CVL50" s="952"/>
      <c r="CVM50" s="952"/>
      <c r="CVN50" s="952"/>
      <c r="CVO50" s="952"/>
      <c r="CVP50" s="952"/>
      <c r="CVQ50" s="952"/>
      <c r="CVR50" s="952"/>
      <c r="CVS50" s="952"/>
      <c r="CVT50" s="952"/>
      <c r="CVU50" s="952"/>
      <c r="CVV50" s="952"/>
      <c r="CVW50" s="952"/>
      <c r="CVX50" s="952"/>
      <c r="CVY50" s="952"/>
      <c r="CVZ50" s="952"/>
      <c r="CWA50" s="952"/>
      <c r="CWB50" s="952"/>
      <c r="CWC50" s="952"/>
      <c r="CWD50" s="952"/>
      <c r="CWE50" s="952"/>
      <c r="CWF50" s="952"/>
      <c r="CWG50" s="952"/>
      <c r="CWH50" s="952"/>
      <c r="CWI50" s="952"/>
      <c r="CWJ50" s="952"/>
      <c r="CWK50" s="952"/>
      <c r="CWL50" s="952"/>
      <c r="CWM50" s="952"/>
      <c r="CWN50" s="952"/>
      <c r="CWO50" s="952"/>
      <c r="CWP50" s="952"/>
      <c r="CWQ50" s="952"/>
      <c r="CWR50" s="952"/>
      <c r="CWS50" s="952"/>
      <c r="CWT50" s="952"/>
      <c r="CWU50" s="952"/>
      <c r="CWV50" s="952"/>
      <c r="CWW50" s="952"/>
      <c r="CWX50" s="952"/>
      <c r="CWY50" s="952"/>
      <c r="CWZ50" s="952"/>
      <c r="CXA50" s="952"/>
      <c r="CXB50" s="952"/>
      <c r="CXC50" s="952"/>
      <c r="CXD50" s="952"/>
      <c r="CXE50" s="952"/>
      <c r="CXF50" s="952"/>
      <c r="CXG50" s="952"/>
      <c r="CXH50" s="952"/>
      <c r="CXI50" s="952"/>
      <c r="CXJ50" s="952"/>
      <c r="CXK50" s="952"/>
      <c r="CXL50" s="952"/>
      <c r="CXM50" s="952"/>
      <c r="CXN50" s="952"/>
      <c r="CXO50" s="952"/>
      <c r="CXP50" s="952"/>
      <c r="CXQ50" s="952"/>
      <c r="CXR50" s="952"/>
      <c r="CXS50" s="952"/>
      <c r="CXT50" s="952"/>
      <c r="CXU50" s="952"/>
      <c r="CXV50" s="952"/>
      <c r="CXW50" s="952"/>
      <c r="CXX50" s="952"/>
      <c r="CXY50" s="952"/>
      <c r="CXZ50" s="952"/>
      <c r="CYA50" s="952"/>
      <c r="CYB50" s="952"/>
      <c r="CYC50" s="952"/>
      <c r="CYD50" s="952"/>
      <c r="CYE50" s="952"/>
      <c r="CYF50" s="952"/>
      <c r="CYG50" s="952"/>
      <c r="CYH50" s="952"/>
      <c r="CYI50" s="952"/>
      <c r="CYJ50" s="952"/>
      <c r="CYK50" s="952"/>
      <c r="CYL50" s="952"/>
      <c r="CYM50" s="952"/>
      <c r="CYN50" s="952"/>
      <c r="CYO50" s="952"/>
      <c r="CYP50" s="952"/>
      <c r="CYQ50" s="952"/>
      <c r="CYR50" s="952"/>
      <c r="CYS50" s="952"/>
      <c r="CYT50" s="952"/>
      <c r="CYU50" s="952"/>
      <c r="CYV50" s="952"/>
      <c r="CYW50" s="952"/>
      <c r="CYX50" s="952"/>
      <c r="CYY50" s="952"/>
      <c r="CYZ50" s="952"/>
      <c r="CZA50" s="952"/>
      <c r="CZB50" s="952"/>
      <c r="CZC50" s="952"/>
      <c r="CZD50" s="952"/>
      <c r="CZE50" s="952"/>
      <c r="CZF50" s="952"/>
      <c r="CZG50" s="952"/>
      <c r="CZH50" s="952"/>
      <c r="CZI50" s="952"/>
      <c r="CZJ50" s="952"/>
      <c r="CZK50" s="952"/>
      <c r="CZL50" s="952"/>
      <c r="CZM50" s="952"/>
      <c r="CZN50" s="952"/>
      <c r="CZO50" s="952"/>
      <c r="CZP50" s="952"/>
      <c r="CZQ50" s="952"/>
      <c r="CZR50" s="952"/>
      <c r="CZS50" s="952"/>
      <c r="CZT50" s="952"/>
      <c r="CZU50" s="952"/>
      <c r="CZV50" s="952"/>
      <c r="CZW50" s="952"/>
      <c r="CZX50" s="952"/>
      <c r="CZY50" s="952"/>
      <c r="CZZ50" s="952"/>
      <c r="DAA50" s="952"/>
      <c r="DAB50" s="952"/>
      <c r="DAC50" s="952"/>
      <c r="DAD50" s="952"/>
      <c r="DAE50" s="952"/>
      <c r="DAF50" s="952"/>
      <c r="DAG50" s="952"/>
      <c r="DAH50" s="952"/>
      <c r="DAI50" s="952"/>
      <c r="DAJ50" s="952"/>
      <c r="DAK50" s="952"/>
      <c r="DAL50" s="952"/>
      <c r="DAM50" s="952"/>
      <c r="DAN50" s="952"/>
      <c r="DAO50" s="952"/>
      <c r="DAP50" s="952"/>
      <c r="DAQ50" s="952"/>
      <c r="DAR50" s="952"/>
      <c r="DAS50" s="952"/>
      <c r="DAT50" s="952"/>
      <c r="DAU50" s="952"/>
      <c r="DAV50" s="952"/>
      <c r="DAW50" s="952"/>
      <c r="DAX50" s="952"/>
      <c r="DAY50" s="952"/>
      <c r="DAZ50" s="952"/>
      <c r="DBA50" s="952"/>
      <c r="DBB50" s="952"/>
      <c r="DBC50" s="952"/>
      <c r="DBD50" s="952"/>
      <c r="DBE50" s="952"/>
      <c r="DBF50" s="952"/>
      <c r="DBG50" s="952"/>
      <c r="DBH50" s="952"/>
      <c r="DBI50" s="952"/>
      <c r="DBJ50" s="952"/>
      <c r="DBK50" s="952"/>
      <c r="DBL50" s="952"/>
      <c r="DBM50" s="952"/>
      <c r="DBN50" s="952"/>
      <c r="DBO50" s="952"/>
      <c r="DBP50" s="952"/>
      <c r="DBQ50" s="952"/>
      <c r="DBR50" s="952"/>
      <c r="DBS50" s="952"/>
      <c r="DBT50" s="952"/>
      <c r="DBU50" s="952"/>
      <c r="DBV50" s="952"/>
      <c r="DBW50" s="952"/>
      <c r="DBX50" s="952"/>
      <c r="DBY50" s="952"/>
      <c r="DBZ50" s="952"/>
      <c r="DCA50" s="952"/>
      <c r="DCB50" s="952"/>
      <c r="DCC50" s="952"/>
      <c r="DCD50" s="952"/>
      <c r="DCE50" s="952"/>
      <c r="DCF50" s="952"/>
      <c r="DCG50" s="952"/>
      <c r="DCH50" s="952"/>
      <c r="DCI50" s="952"/>
      <c r="DCJ50" s="952"/>
      <c r="DCK50" s="952"/>
      <c r="DCL50" s="952"/>
      <c r="DCM50" s="952"/>
      <c r="DCN50" s="952"/>
      <c r="DCO50" s="952"/>
      <c r="DCP50" s="952"/>
      <c r="DCQ50" s="952"/>
      <c r="DCR50" s="952"/>
      <c r="DCS50" s="952"/>
      <c r="DCT50" s="952"/>
      <c r="DCU50" s="952"/>
      <c r="DCV50" s="952"/>
      <c r="DCW50" s="952"/>
      <c r="DCX50" s="952"/>
      <c r="DCY50" s="952"/>
      <c r="DCZ50" s="952"/>
      <c r="DDA50" s="952"/>
      <c r="DDB50" s="952"/>
      <c r="DDC50" s="952"/>
      <c r="DDD50" s="952"/>
      <c r="DDE50" s="952"/>
      <c r="DDF50" s="952"/>
      <c r="DDG50" s="952"/>
      <c r="DDH50" s="952"/>
      <c r="DDI50" s="952"/>
      <c r="DDJ50" s="952"/>
      <c r="DDK50" s="952"/>
      <c r="DDL50" s="952"/>
      <c r="DDM50" s="952"/>
      <c r="DDN50" s="952"/>
      <c r="DDO50" s="952"/>
      <c r="DDP50" s="952"/>
      <c r="DDQ50" s="952"/>
      <c r="DDR50" s="952"/>
      <c r="DDS50" s="952"/>
      <c r="DDT50" s="952"/>
      <c r="DDU50" s="952"/>
      <c r="DDV50" s="952"/>
      <c r="DDW50" s="952"/>
      <c r="DDX50" s="952"/>
      <c r="DDY50" s="952"/>
      <c r="DDZ50" s="952"/>
      <c r="DEA50" s="952"/>
      <c r="DEB50" s="952"/>
      <c r="DEC50" s="952"/>
      <c r="DED50" s="952"/>
      <c r="DEE50" s="952"/>
      <c r="DEF50" s="952"/>
      <c r="DEG50" s="952"/>
      <c r="DEH50" s="952"/>
      <c r="DEI50" s="952"/>
      <c r="DEJ50" s="952"/>
      <c r="DEK50" s="952"/>
      <c r="DEL50" s="952"/>
      <c r="DEM50" s="952"/>
      <c r="DEN50" s="952"/>
      <c r="DEO50" s="952"/>
      <c r="DEP50" s="952"/>
      <c r="DEQ50" s="952"/>
      <c r="DER50" s="952"/>
      <c r="DES50" s="952"/>
      <c r="DET50" s="952"/>
      <c r="DEU50" s="952"/>
      <c r="DEV50" s="952"/>
      <c r="DEW50" s="952"/>
      <c r="DEX50" s="952"/>
      <c r="DEY50" s="952"/>
      <c r="DEZ50" s="952"/>
      <c r="DFA50" s="952"/>
      <c r="DFB50" s="952"/>
      <c r="DFC50" s="952"/>
      <c r="DFD50" s="952"/>
      <c r="DFE50" s="952"/>
      <c r="DFF50" s="952"/>
      <c r="DFG50" s="952"/>
      <c r="DFH50" s="952"/>
      <c r="DFI50" s="952"/>
      <c r="DFJ50" s="952"/>
      <c r="DFK50" s="952"/>
      <c r="DFL50" s="952"/>
      <c r="DFM50" s="952"/>
      <c r="DFN50" s="952"/>
      <c r="DFO50" s="952"/>
      <c r="DFP50" s="952"/>
      <c r="DFQ50" s="952"/>
      <c r="DFR50" s="952"/>
      <c r="DFS50" s="952"/>
      <c r="DFT50" s="952"/>
      <c r="DFU50" s="952"/>
      <c r="DFV50" s="952"/>
      <c r="DFW50" s="952"/>
      <c r="DFX50" s="952"/>
      <c r="DFY50" s="952"/>
      <c r="DFZ50" s="952"/>
      <c r="DGA50" s="952"/>
      <c r="DGB50" s="952"/>
      <c r="DGC50" s="952"/>
      <c r="DGD50" s="952"/>
      <c r="DGE50" s="952"/>
      <c r="DGF50" s="952"/>
      <c r="DGG50" s="952"/>
      <c r="DGH50" s="952"/>
      <c r="DGI50" s="952"/>
      <c r="DGJ50" s="952"/>
      <c r="DGK50" s="952"/>
      <c r="DGL50" s="952"/>
      <c r="DGM50" s="952"/>
      <c r="DGN50" s="952"/>
      <c r="DGO50" s="952"/>
      <c r="DGP50" s="952"/>
      <c r="DGQ50" s="952"/>
      <c r="DGR50" s="952"/>
      <c r="DGS50" s="952"/>
      <c r="DGT50" s="952"/>
      <c r="DGU50" s="952"/>
      <c r="DGV50" s="952"/>
      <c r="DGW50" s="952"/>
      <c r="DGX50" s="952"/>
      <c r="DGY50" s="952"/>
      <c r="DGZ50" s="952"/>
      <c r="DHA50" s="952"/>
      <c r="DHB50" s="952"/>
      <c r="DHC50" s="952"/>
      <c r="DHD50" s="952"/>
      <c r="DHE50" s="952"/>
      <c r="DHF50" s="952"/>
      <c r="DHG50" s="952"/>
      <c r="DHH50" s="952"/>
      <c r="DHI50" s="952"/>
      <c r="DHJ50" s="952"/>
      <c r="DHK50" s="952"/>
      <c r="DHL50" s="952"/>
      <c r="DHM50" s="952"/>
      <c r="DHN50" s="952"/>
      <c r="DHO50" s="952"/>
      <c r="DHP50" s="952"/>
      <c r="DHQ50" s="952"/>
      <c r="DHR50" s="952"/>
      <c r="DHS50" s="952"/>
      <c r="DHT50" s="952"/>
      <c r="DHU50" s="952"/>
      <c r="DHV50" s="952"/>
      <c r="DHW50" s="952"/>
      <c r="DHX50" s="952"/>
      <c r="DHY50" s="952"/>
      <c r="DHZ50" s="952"/>
      <c r="DIA50" s="952"/>
      <c r="DIB50" s="952"/>
      <c r="DIC50" s="952"/>
      <c r="DID50" s="952"/>
      <c r="DIE50" s="952"/>
      <c r="DIF50" s="952"/>
      <c r="DIG50" s="952"/>
      <c r="DIH50" s="952"/>
      <c r="DII50" s="952"/>
      <c r="DIJ50" s="952"/>
      <c r="DIK50" s="952"/>
      <c r="DIL50" s="952"/>
      <c r="DIM50" s="952"/>
      <c r="DIN50" s="952"/>
      <c r="DIO50" s="952"/>
      <c r="DIP50" s="952"/>
      <c r="DIQ50" s="952"/>
      <c r="DIR50" s="952"/>
      <c r="DIS50" s="952"/>
      <c r="DIT50" s="952"/>
      <c r="DIU50" s="952"/>
      <c r="DIV50" s="952"/>
      <c r="DIW50" s="952"/>
      <c r="DIX50" s="952"/>
      <c r="DIY50" s="952"/>
      <c r="DIZ50" s="952"/>
      <c r="DJA50" s="952"/>
      <c r="DJB50" s="952"/>
      <c r="DJC50" s="952"/>
      <c r="DJD50" s="952"/>
      <c r="DJE50" s="952"/>
      <c r="DJF50" s="952"/>
      <c r="DJG50" s="952"/>
      <c r="DJH50" s="952"/>
      <c r="DJI50" s="952"/>
      <c r="DJJ50" s="952"/>
      <c r="DJK50" s="952"/>
      <c r="DJL50" s="952"/>
      <c r="DJM50" s="952"/>
      <c r="DJN50" s="952"/>
      <c r="DJO50" s="952"/>
      <c r="DJP50" s="952"/>
      <c r="DJQ50" s="952"/>
      <c r="DJR50" s="952"/>
      <c r="DJS50" s="952"/>
      <c r="DJT50" s="952"/>
      <c r="DJU50" s="952"/>
      <c r="DJV50" s="952"/>
      <c r="DJW50" s="952"/>
      <c r="DJX50" s="952"/>
      <c r="DJY50" s="952"/>
      <c r="DJZ50" s="952"/>
      <c r="DKA50" s="952"/>
      <c r="DKB50" s="952"/>
      <c r="DKC50" s="952"/>
      <c r="DKD50" s="952"/>
      <c r="DKE50" s="952"/>
      <c r="DKF50" s="952"/>
      <c r="DKG50" s="952"/>
      <c r="DKH50" s="952"/>
      <c r="DKI50" s="952"/>
      <c r="DKJ50" s="952"/>
      <c r="DKK50" s="952"/>
      <c r="DKL50" s="952"/>
      <c r="DKM50" s="952"/>
      <c r="DKN50" s="952"/>
      <c r="DKO50" s="952"/>
      <c r="DKP50" s="952"/>
      <c r="DKQ50" s="952"/>
      <c r="DKR50" s="952"/>
      <c r="DKS50" s="952"/>
      <c r="DKT50" s="952"/>
      <c r="DKU50" s="952"/>
      <c r="DKV50" s="952"/>
      <c r="DKW50" s="952"/>
      <c r="DKX50" s="952"/>
      <c r="DKY50" s="952"/>
      <c r="DKZ50" s="952"/>
      <c r="DLA50" s="952"/>
      <c r="DLB50" s="952"/>
      <c r="DLC50" s="952"/>
      <c r="DLD50" s="952"/>
      <c r="DLE50" s="952"/>
      <c r="DLF50" s="952"/>
      <c r="DLG50" s="952"/>
      <c r="DLH50" s="952"/>
      <c r="DLI50" s="952"/>
      <c r="DLJ50" s="952"/>
      <c r="DLK50" s="952"/>
      <c r="DLL50" s="952"/>
      <c r="DLM50" s="952"/>
      <c r="DLN50" s="952"/>
      <c r="DLO50" s="952"/>
      <c r="DLP50" s="952"/>
      <c r="DLQ50" s="952"/>
      <c r="DLR50" s="952"/>
      <c r="DLS50" s="952"/>
      <c r="DLT50" s="952"/>
      <c r="DLU50" s="952"/>
      <c r="DLV50" s="952"/>
      <c r="DLW50" s="952"/>
      <c r="DLX50" s="952"/>
      <c r="DLY50" s="952"/>
      <c r="DLZ50" s="952"/>
      <c r="DMA50" s="952"/>
      <c r="DMB50" s="952"/>
      <c r="DMC50" s="952"/>
      <c r="DMD50" s="952"/>
      <c r="DME50" s="952"/>
      <c r="DMF50" s="952"/>
      <c r="DMG50" s="952"/>
      <c r="DMH50" s="952"/>
      <c r="DMI50" s="952"/>
      <c r="DMJ50" s="952"/>
      <c r="DMK50" s="952"/>
      <c r="DML50" s="952"/>
      <c r="DMM50" s="952"/>
      <c r="DMN50" s="952"/>
      <c r="DMO50" s="952"/>
      <c r="DMP50" s="952"/>
      <c r="DMQ50" s="952"/>
      <c r="DMR50" s="952"/>
      <c r="DMS50" s="952"/>
      <c r="DMT50" s="952"/>
      <c r="DMU50" s="952"/>
      <c r="DMV50" s="952"/>
      <c r="DMW50" s="952"/>
      <c r="DMX50" s="952"/>
      <c r="DMY50" s="952"/>
      <c r="DMZ50" s="952"/>
      <c r="DNA50" s="952"/>
      <c r="DNB50" s="952"/>
      <c r="DNC50" s="952"/>
      <c r="DND50" s="952"/>
      <c r="DNE50" s="952"/>
      <c r="DNF50" s="952"/>
      <c r="DNG50" s="952"/>
      <c r="DNH50" s="952"/>
      <c r="DNI50" s="952"/>
      <c r="DNJ50" s="952"/>
      <c r="DNK50" s="952"/>
      <c r="DNL50" s="952"/>
      <c r="DNM50" s="952"/>
      <c r="DNN50" s="952"/>
      <c r="DNO50" s="952"/>
      <c r="DNP50" s="952"/>
      <c r="DNQ50" s="952"/>
      <c r="DNR50" s="952"/>
      <c r="DNS50" s="952"/>
      <c r="DNT50" s="952"/>
      <c r="DNU50" s="952"/>
      <c r="DNV50" s="952"/>
      <c r="DNW50" s="952"/>
      <c r="DNX50" s="952"/>
      <c r="DNY50" s="952"/>
      <c r="DNZ50" s="952"/>
      <c r="DOA50" s="952"/>
      <c r="DOB50" s="952"/>
      <c r="DOC50" s="952"/>
      <c r="DOD50" s="952"/>
      <c r="DOE50" s="952"/>
      <c r="DOF50" s="952"/>
      <c r="DOG50" s="952"/>
      <c r="DOH50" s="952"/>
      <c r="DOI50" s="952"/>
      <c r="DOJ50" s="952"/>
      <c r="DOK50" s="952"/>
      <c r="DOL50" s="952"/>
      <c r="DOM50" s="952"/>
      <c r="DON50" s="952"/>
      <c r="DOO50" s="952"/>
      <c r="DOP50" s="952"/>
      <c r="DOQ50" s="952"/>
      <c r="DOR50" s="952"/>
      <c r="DOS50" s="952"/>
      <c r="DOT50" s="952"/>
      <c r="DOU50" s="952"/>
      <c r="DOV50" s="952"/>
      <c r="DOW50" s="952"/>
      <c r="DOX50" s="952"/>
      <c r="DOY50" s="952"/>
      <c r="DOZ50" s="952"/>
      <c r="DPA50" s="952"/>
      <c r="DPB50" s="952"/>
      <c r="DPC50" s="952"/>
      <c r="DPD50" s="952"/>
      <c r="DPE50" s="952"/>
      <c r="DPF50" s="952"/>
      <c r="DPG50" s="952"/>
      <c r="DPH50" s="952"/>
      <c r="DPI50" s="952"/>
      <c r="DPJ50" s="952"/>
      <c r="DPK50" s="952"/>
      <c r="DPL50" s="952"/>
      <c r="DPM50" s="952"/>
      <c r="DPN50" s="952"/>
      <c r="DPO50" s="952"/>
      <c r="DPP50" s="952"/>
      <c r="DPQ50" s="952"/>
      <c r="DPR50" s="952"/>
      <c r="DPS50" s="952"/>
      <c r="DPT50" s="952"/>
      <c r="DPU50" s="952"/>
      <c r="DPV50" s="952"/>
      <c r="DPW50" s="952"/>
      <c r="DPX50" s="952"/>
      <c r="DPY50" s="952"/>
      <c r="DPZ50" s="952"/>
      <c r="DQA50" s="952"/>
      <c r="DQB50" s="952"/>
      <c r="DQC50" s="952"/>
      <c r="DQD50" s="952"/>
      <c r="DQE50" s="952"/>
      <c r="DQF50" s="952"/>
      <c r="DQG50" s="952"/>
      <c r="DQH50" s="952"/>
      <c r="DQI50" s="952"/>
      <c r="DQJ50" s="952"/>
      <c r="DQK50" s="952"/>
      <c r="DQL50" s="952"/>
      <c r="DQM50" s="952"/>
      <c r="DQN50" s="952"/>
      <c r="DQO50" s="952"/>
      <c r="DQP50" s="952"/>
      <c r="DQQ50" s="952"/>
      <c r="DQR50" s="952"/>
      <c r="DQS50" s="952"/>
      <c r="DQT50" s="952"/>
      <c r="DQU50" s="952"/>
      <c r="DQV50" s="952"/>
      <c r="DQW50" s="952"/>
      <c r="DQX50" s="952"/>
      <c r="DQY50" s="952"/>
      <c r="DQZ50" s="952"/>
      <c r="DRA50" s="952"/>
      <c r="DRB50" s="952"/>
      <c r="DRC50" s="952"/>
      <c r="DRD50" s="952"/>
      <c r="DRE50" s="952"/>
      <c r="DRF50" s="952"/>
      <c r="DRG50" s="952"/>
      <c r="DRH50" s="952"/>
      <c r="DRI50" s="952"/>
      <c r="DRJ50" s="952"/>
      <c r="DRK50" s="952"/>
      <c r="DRL50" s="952"/>
      <c r="DRM50" s="952"/>
      <c r="DRN50" s="952"/>
      <c r="DRO50" s="952"/>
      <c r="DRP50" s="952"/>
      <c r="DRQ50" s="952"/>
      <c r="DRR50" s="952"/>
      <c r="DRS50" s="952"/>
      <c r="DRT50" s="952"/>
      <c r="DRU50" s="952"/>
      <c r="DRV50" s="952"/>
      <c r="DRW50" s="952"/>
      <c r="DRX50" s="952"/>
      <c r="DRY50" s="952"/>
      <c r="DRZ50" s="952"/>
      <c r="DSA50" s="952"/>
      <c r="DSB50" s="952"/>
      <c r="DSC50" s="952"/>
      <c r="DSD50" s="952"/>
      <c r="DSE50" s="952"/>
      <c r="DSF50" s="952"/>
      <c r="DSG50" s="952"/>
      <c r="DSH50" s="952"/>
      <c r="DSI50" s="952"/>
      <c r="DSJ50" s="952"/>
      <c r="DSK50" s="952"/>
      <c r="DSL50" s="952"/>
      <c r="DSM50" s="952"/>
      <c r="DSN50" s="952"/>
      <c r="DSO50" s="952"/>
      <c r="DSP50" s="952"/>
      <c r="DSQ50" s="952"/>
      <c r="DSR50" s="952"/>
      <c r="DSS50" s="952"/>
      <c r="DST50" s="952"/>
      <c r="DSU50" s="952"/>
      <c r="DSV50" s="952"/>
      <c r="DSW50" s="952"/>
      <c r="DSX50" s="952"/>
      <c r="DSY50" s="952"/>
      <c r="DSZ50" s="952"/>
      <c r="DTA50" s="952"/>
      <c r="DTB50" s="952"/>
      <c r="DTC50" s="952"/>
      <c r="DTD50" s="952"/>
      <c r="DTE50" s="952"/>
      <c r="DTF50" s="952"/>
      <c r="DTG50" s="952"/>
      <c r="DTH50" s="952"/>
      <c r="DTI50" s="952"/>
      <c r="DTJ50" s="952"/>
      <c r="DTK50" s="952"/>
      <c r="DTL50" s="952"/>
      <c r="DTM50" s="952"/>
      <c r="DTN50" s="952"/>
      <c r="DTO50" s="952"/>
      <c r="DTP50" s="952"/>
      <c r="DTQ50" s="952"/>
      <c r="DTR50" s="952"/>
      <c r="DTS50" s="952"/>
      <c r="DTT50" s="952"/>
      <c r="DTU50" s="952"/>
      <c r="DTV50" s="952"/>
      <c r="DTW50" s="952"/>
      <c r="DTX50" s="952"/>
      <c r="DTY50" s="952"/>
      <c r="DTZ50" s="952"/>
      <c r="DUA50" s="952"/>
      <c r="DUB50" s="952"/>
      <c r="DUC50" s="952"/>
      <c r="DUD50" s="952"/>
      <c r="DUE50" s="952"/>
      <c r="DUF50" s="952"/>
      <c r="DUG50" s="952"/>
      <c r="DUH50" s="952"/>
      <c r="DUI50" s="952"/>
      <c r="DUJ50" s="952"/>
      <c r="DUK50" s="952"/>
      <c r="DUL50" s="952"/>
      <c r="DUM50" s="952"/>
      <c r="DUN50" s="952"/>
      <c r="DUO50" s="952"/>
      <c r="DUP50" s="952"/>
      <c r="DUQ50" s="952"/>
      <c r="DUR50" s="952"/>
      <c r="DUS50" s="952"/>
      <c r="DUT50" s="952"/>
      <c r="DUU50" s="952"/>
      <c r="DUV50" s="952"/>
      <c r="DUW50" s="952"/>
      <c r="DUX50" s="952"/>
      <c r="DUY50" s="952"/>
      <c r="DUZ50" s="952"/>
      <c r="DVA50" s="952"/>
      <c r="DVB50" s="952"/>
      <c r="DVC50" s="952"/>
      <c r="DVD50" s="952"/>
      <c r="DVE50" s="952"/>
      <c r="DVF50" s="952"/>
      <c r="DVG50" s="952"/>
      <c r="DVH50" s="952"/>
      <c r="DVI50" s="952"/>
      <c r="DVJ50" s="952"/>
      <c r="DVK50" s="952"/>
      <c r="DVL50" s="952"/>
      <c r="DVM50" s="952"/>
      <c r="DVN50" s="952"/>
      <c r="DVO50" s="952"/>
      <c r="DVP50" s="952"/>
      <c r="DVQ50" s="952"/>
      <c r="DVR50" s="952"/>
      <c r="DVS50" s="952"/>
      <c r="DVT50" s="952"/>
      <c r="DVU50" s="952"/>
      <c r="DVV50" s="952"/>
      <c r="DVW50" s="952"/>
      <c r="DVX50" s="952"/>
      <c r="DVY50" s="952"/>
      <c r="DVZ50" s="952"/>
      <c r="DWA50" s="952"/>
      <c r="DWB50" s="952"/>
      <c r="DWC50" s="952"/>
      <c r="DWD50" s="952"/>
      <c r="DWE50" s="952"/>
      <c r="DWF50" s="952"/>
      <c r="DWG50" s="952"/>
      <c r="DWH50" s="952"/>
      <c r="DWI50" s="952"/>
      <c r="DWJ50" s="952"/>
      <c r="DWK50" s="952"/>
      <c r="DWL50" s="952"/>
      <c r="DWM50" s="952"/>
      <c r="DWN50" s="952"/>
      <c r="DWO50" s="952"/>
      <c r="DWP50" s="952"/>
      <c r="DWQ50" s="952"/>
      <c r="DWR50" s="952"/>
      <c r="DWS50" s="952"/>
      <c r="DWT50" s="952"/>
      <c r="DWU50" s="952"/>
      <c r="DWV50" s="952"/>
      <c r="DWW50" s="952"/>
      <c r="DWX50" s="952"/>
      <c r="DWY50" s="952"/>
      <c r="DWZ50" s="952"/>
      <c r="DXA50" s="952"/>
      <c r="DXB50" s="952"/>
      <c r="DXC50" s="952"/>
      <c r="DXD50" s="952"/>
      <c r="DXE50" s="952"/>
      <c r="DXF50" s="952"/>
      <c r="DXG50" s="952"/>
      <c r="DXH50" s="952"/>
      <c r="DXI50" s="952"/>
      <c r="DXJ50" s="952"/>
      <c r="DXK50" s="952"/>
      <c r="DXL50" s="952"/>
      <c r="DXM50" s="952"/>
      <c r="DXN50" s="952"/>
      <c r="DXO50" s="952"/>
      <c r="DXP50" s="952"/>
      <c r="DXQ50" s="952"/>
      <c r="DXR50" s="952"/>
      <c r="DXS50" s="952"/>
      <c r="DXT50" s="952"/>
      <c r="DXU50" s="952"/>
      <c r="DXV50" s="952"/>
      <c r="DXW50" s="952"/>
      <c r="DXX50" s="952"/>
      <c r="DXY50" s="952"/>
      <c r="DXZ50" s="952"/>
      <c r="DYA50" s="952"/>
      <c r="DYB50" s="952"/>
      <c r="DYC50" s="952"/>
      <c r="DYD50" s="952"/>
      <c r="DYE50" s="952"/>
      <c r="DYF50" s="952"/>
      <c r="DYG50" s="952"/>
      <c r="DYH50" s="952"/>
      <c r="DYI50" s="952"/>
      <c r="DYJ50" s="952"/>
      <c r="DYK50" s="952"/>
      <c r="DYL50" s="952"/>
      <c r="DYM50" s="952"/>
      <c r="DYN50" s="952"/>
      <c r="DYO50" s="952"/>
      <c r="DYP50" s="952"/>
      <c r="DYQ50" s="952"/>
      <c r="DYR50" s="952"/>
      <c r="DYS50" s="952"/>
      <c r="DYT50" s="952"/>
      <c r="DYU50" s="952"/>
      <c r="DYV50" s="952"/>
      <c r="DYW50" s="952"/>
      <c r="DYX50" s="952"/>
      <c r="DYY50" s="952"/>
      <c r="DYZ50" s="952"/>
      <c r="DZA50" s="952"/>
      <c r="DZB50" s="952"/>
      <c r="DZC50" s="952"/>
      <c r="DZD50" s="952"/>
      <c r="DZE50" s="952"/>
      <c r="DZF50" s="952"/>
      <c r="DZG50" s="952"/>
      <c r="DZH50" s="952"/>
      <c r="DZI50" s="952"/>
      <c r="DZJ50" s="952"/>
      <c r="DZK50" s="952"/>
      <c r="DZL50" s="952"/>
      <c r="DZM50" s="952"/>
      <c r="DZN50" s="952"/>
      <c r="DZO50" s="952"/>
      <c r="DZP50" s="952"/>
      <c r="DZQ50" s="952"/>
      <c r="DZR50" s="952"/>
      <c r="DZS50" s="952"/>
      <c r="DZT50" s="952"/>
      <c r="DZU50" s="952"/>
      <c r="DZV50" s="952"/>
      <c r="DZW50" s="952"/>
      <c r="DZX50" s="952"/>
      <c r="DZY50" s="952"/>
      <c r="DZZ50" s="952"/>
      <c r="EAA50" s="952"/>
      <c r="EAB50" s="952"/>
      <c r="EAC50" s="952"/>
      <c r="EAD50" s="952"/>
      <c r="EAE50" s="952"/>
      <c r="EAF50" s="952"/>
      <c r="EAG50" s="952"/>
      <c r="EAH50" s="952"/>
      <c r="EAI50" s="952"/>
      <c r="EAJ50" s="952"/>
      <c r="EAK50" s="952"/>
      <c r="EAL50" s="952"/>
      <c r="EAM50" s="952"/>
      <c r="EAN50" s="952"/>
      <c r="EAO50" s="952"/>
      <c r="EAP50" s="952"/>
      <c r="EAQ50" s="952"/>
      <c r="EAR50" s="952"/>
      <c r="EAS50" s="952"/>
      <c r="EAT50" s="952"/>
      <c r="EAU50" s="952"/>
      <c r="EAV50" s="952"/>
      <c r="EAW50" s="952"/>
      <c r="EAX50" s="952"/>
      <c r="EAY50" s="952"/>
      <c r="EAZ50" s="952"/>
      <c r="EBA50" s="952"/>
      <c r="EBB50" s="952"/>
      <c r="EBC50" s="952"/>
      <c r="EBD50" s="952"/>
      <c r="EBE50" s="952"/>
      <c r="EBF50" s="952"/>
      <c r="EBG50" s="952"/>
      <c r="EBH50" s="952"/>
      <c r="EBI50" s="952"/>
      <c r="EBJ50" s="952"/>
      <c r="EBK50" s="952"/>
      <c r="EBL50" s="952"/>
      <c r="EBM50" s="952"/>
      <c r="EBN50" s="952"/>
      <c r="EBO50" s="952"/>
      <c r="EBP50" s="952"/>
      <c r="EBQ50" s="952"/>
      <c r="EBR50" s="952"/>
      <c r="EBS50" s="952"/>
      <c r="EBT50" s="952"/>
      <c r="EBU50" s="952"/>
      <c r="EBV50" s="952"/>
      <c r="EBW50" s="952"/>
      <c r="EBX50" s="952"/>
      <c r="EBY50" s="952"/>
      <c r="EBZ50" s="952"/>
      <c r="ECA50" s="952"/>
      <c r="ECB50" s="952"/>
      <c r="ECC50" s="952"/>
      <c r="ECD50" s="952"/>
      <c r="ECE50" s="952"/>
      <c r="ECF50" s="952"/>
      <c r="ECG50" s="952"/>
      <c r="ECH50" s="952"/>
      <c r="ECI50" s="952"/>
      <c r="ECJ50" s="952"/>
      <c r="ECK50" s="952"/>
      <c r="ECL50" s="952"/>
      <c r="ECM50" s="952"/>
      <c r="ECN50" s="952"/>
      <c r="ECO50" s="952"/>
      <c r="ECP50" s="952"/>
      <c r="ECQ50" s="952"/>
      <c r="ECR50" s="952"/>
      <c r="ECS50" s="952"/>
      <c r="ECT50" s="952"/>
      <c r="ECU50" s="952"/>
      <c r="ECV50" s="952"/>
      <c r="ECW50" s="952"/>
      <c r="ECX50" s="952"/>
      <c r="ECY50" s="952"/>
      <c r="ECZ50" s="952"/>
      <c r="EDA50" s="952"/>
      <c r="EDB50" s="952"/>
      <c r="EDC50" s="952"/>
      <c r="EDD50" s="952"/>
      <c r="EDE50" s="952"/>
      <c r="EDF50" s="952"/>
      <c r="EDG50" s="952"/>
      <c r="EDH50" s="952"/>
      <c r="EDI50" s="952"/>
      <c r="EDJ50" s="952"/>
      <c r="EDK50" s="952"/>
      <c r="EDL50" s="952"/>
      <c r="EDM50" s="952"/>
      <c r="EDN50" s="952"/>
      <c r="EDO50" s="952"/>
      <c r="EDP50" s="952"/>
      <c r="EDQ50" s="952"/>
      <c r="EDR50" s="952"/>
      <c r="EDS50" s="952"/>
      <c r="EDT50" s="952"/>
      <c r="EDU50" s="952"/>
      <c r="EDV50" s="952"/>
      <c r="EDW50" s="952"/>
      <c r="EDX50" s="952"/>
      <c r="EDY50" s="952"/>
      <c r="EDZ50" s="952"/>
      <c r="EEA50" s="952"/>
      <c r="EEB50" s="952"/>
      <c r="EEC50" s="952"/>
      <c r="EED50" s="952"/>
      <c r="EEE50" s="952"/>
      <c r="EEF50" s="952"/>
      <c r="EEG50" s="952"/>
      <c r="EEH50" s="952"/>
      <c r="EEI50" s="952"/>
      <c r="EEJ50" s="952"/>
      <c r="EEK50" s="952"/>
      <c r="EEL50" s="952"/>
      <c r="EEM50" s="952"/>
      <c r="EEN50" s="952"/>
      <c r="EEO50" s="952"/>
      <c r="EEP50" s="952"/>
      <c r="EEQ50" s="952"/>
      <c r="EER50" s="952"/>
      <c r="EES50" s="952"/>
      <c r="EET50" s="952"/>
      <c r="EEU50" s="952"/>
      <c r="EEV50" s="952"/>
      <c r="EEW50" s="952"/>
      <c r="EEX50" s="952"/>
      <c r="EEY50" s="952"/>
      <c r="EEZ50" s="952"/>
      <c r="EFA50" s="952"/>
      <c r="EFB50" s="952"/>
      <c r="EFC50" s="952"/>
      <c r="EFD50" s="952"/>
      <c r="EFE50" s="952"/>
      <c r="EFF50" s="952"/>
      <c r="EFG50" s="952"/>
      <c r="EFH50" s="952"/>
      <c r="EFI50" s="952"/>
      <c r="EFJ50" s="952"/>
      <c r="EFK50" s="952"/>
      <c r="EFL50" s="952"/>
      <c r="EFM50" s="952"/>
      <c r="EFN50" s="952"/>
      <c r="EFO50" s="952"/>
      <c r="EFP50" s="952"/>
      <c r="EFQ50" s="952"/>
      <c r="EFR50" s="952"/>
      <c r="EFS50" s="952"/>
      <c r="EFT50" s="952"/>
      <c r="EFU50" s="952"/>
      <c r="EFV50" s="952"/>
      <c r="EFW50" s="952"/>
      <c r="EFX50" s="952"/>
      <c r="EFY50" s="952"/>
      <c r="EFZ50" s="952"/>
      <c r="EGA50" s="952"/>
      <c r="EGB50" s="952"/>
      <c r="EGC50" s="952"/>
      <c r="EGD50" s="952"/>
      <c r="EGE50" s="952"/>
      <c r="EGF50" s="952"/>
      <c r="EGG50" s="952"/>
      <c r="EGH50" s="952"/>
      <c r="EGI50" s="952"/>
      <c r="EGJ50" s="952"/>
      <c r="EGK50" s="952"/>
      <c r="EGL50" s="952"/>
      <c r="EGM50" s="952"/>
      <c r="EGN50" s="952"/>
      <c r="EGO50" s="952"/>
      <c r="EGP50" s="952"/>
      <c r="EGQ50" s="952"/>
      <c r="EGR50" s="952"/>
      <c r="EGS50" s="952"/>
      <c r="EGT50" s="952"/>
      <c r="EGU50" s="952"/>
      <c r="EGV50" s="952"/>
      <c r="EGW50" s="952"/>
      <c r="EGX50" s="952"/>
      <c r="EGY50" s="952"/>
      <c r="EGZ50" s="952"/>
      <c r="EHA50" s="952"/>
      <c r="EHB50" s="952"/>
      <c r="EHC50" s="952"/>
      <c r="EHD50" s="952"/>
      <c r="EHE50" s="952"/>
      <c r="EHF50" s="952"/>
      <c r="EHG50" s="952"/>
      <c r="EHH50" s="952"/>
      <c r="EHI50" s="952"/>
      <c r="EHJ50" s="952"/>
      <c r="EHK50" s="952"/>
      <c r="EHL50" s="952"/>
      <c r="EHM50" s="952"/>
      <c r="EHN50" s="952"/>
      <c r="EHO50" s="952"/>
      <c r="EHP50" s="952"/>
      <c r="EHQ50" s="952"/>
      <c r="EHR50" s="952"/>
      <c r="EHS50" s="952"/>
      <c r="EHT50" s="952"/>
      <c r="EHU50" s="952"/>
      <c r="EHV50" s="952"/>
      <c r="EHW50" s="952"/>
      <c r="EHX50" s="952"/>
      <c r="EHY50" s="952"/>
      <c r="EHZ50" s="952"/>
      <c r="EIA50" s="952"/>
      <c r="EIB50" s="952"/>
      <c r="EIC50" s="952"/>
      <c r="EID50" s="952"/>
      <c r="EIE50" s="952"/>
      <c r="EIF50" s="952"/>
      <c r="EIG50" s="952"/>
      <c r="EIH50" s="952"/>
      <c r="EII50" s="952"/>
      <c r="EIJ50" s="952"/>
      <c r="EIK50" s="952"/>
      <c r="EIL50" s="952"/>
      <c r="EIM50" s="952"/>
      <c r="EIN50" s="952"/>
      <c r="EIO50" s="952"/>
      <c r="EIP50" s="952"/>
      <c r="EIQ50" s="952"/>
      <c r="EIR50" s="952"/>
      <c r="EIS50" s="952"/>
      <c r="EIT50" s="952"/>
      <c r="EIU50" s="952"/>
      <c r="EIV50" s="952"/>
      <c r="EIW50" s="952"/>
      <c r="EIX50" s="952"/>
      <c r="EIY50" s="952"/>
      <c r="EIZ50" s="952"/>
      <c r="EJA50" s="952"/>
      <c r="EJB50" s="952"/>
      <c r="EJC50" s="952"/>
      <c r="EJD50" s="952"/>
      <c r="EJE50" s="952"/>
      <c r="EJF50" s="952"/>
      <c r="EJG50" s="952"/>
      <c r="EJH50" s="952"/>
      <c r="EJI50" s="952"/>
      <c r="EJJ50" s="952"/>
      <c r="EJK50" s="952"/>
      <c r="EJL50" s="952"/>
      <c r="EJM50" s="952"/>
      <c r="EJN50" s="952"/>
      <c r="EJO50" s="952"/>
      <c r="EJP50" s="952"/>
      <c r="EJQ50" s="952"/>
      <c r="EJR50" s="952"/>
      <c r="EJS50" s="952"/>
      <c r="EJT50" s="952"/>
      <c r="EJU50" s="952"/>
      <c r="EJV50" s="952"/>
      <c r="EJW50" s="952"/>
      <c r="EJX50" s="952"/>
      <c r="EJY50" s="952"/>
      <c r="EJZ50" s="952"/>
      <c r="EKA50" s="952"/>
      <c r="EKB50" s="952"/>
      <c r="EKC50" s="952"/>
      <c r="EKD50" s="952"/>
      <c r="EKE50" s="952"/>
      <c r="EKF50" s="952"/>
      <c r="EKG50" s="952"/>
      <c r="EKH50" s="952"/>
      <c r="EKI50" s="952"/>
      <c r="EKJ50" s="952"/>
      <c r="EKK50" s="952"/>
      <c r="EKL50" s="952"/>
      <c r="EKM50" s="952"/>
      <c r="EKN50" s="952"/>
      <c r="EKO50" s="952"/>
      <c r="EKP50" s="952"/>
      <c r="EKQ50" s="952"/>
      <c r="EKR50" s="952"/>
      <c r="EKS50" s="952"/>
      <c r="EKT50" s="952"/>
      <c r="EKU50" s="952"/>
      <c r="EKV50" s="952"/>
      <c r="EKW50" s="952"/>
      <c r="EKX50" s="952"/>
      <c r="EKY50" s="952"/>
      <c r="EKZ50" s="952"/>
      <c r="ELA50" s="952"/>
      <c r="ELB50" s="952"/>
      <c r="ELC50" s="952"/>
      <c r="ELD50" s="952"/>
      <c r="ELE50" s="952"/>
      <c r="ELF50" s="952"/>
      <c r="ELG50" s="952"/>
      <c r="ELH50" s="952"/>
      <c r="ELI50" s="952"/>
      <c r="ELJ50" s="952"/>
      <c r="ELK50" s="952"/>
      <c r="ELL50" s="952"/>
      <c r="ELM50" s="952"/>
      <c r="ELN50" s="952"/>
      <c r="ELO50" s="952"/>
      <c r="ELP50" s="952"/>
      <c r="ELQ50" s="952"/>
      <c r="ELR50" s="952"/>
      <c r="ELS50" s="952"/>
      <c r="ELT50" s="952"/>
      <c r="ELU50" s="952"/>
      <c r="ELV50" s="952"/>
      <c r="ELW50" s="952"/>
      <c r="ELX50" s="952"/>
      <c r="ELY50" s="952"/>
      <c r="ELZ50" s="952"/>
      <c r="EMA50" s="952"/>
      <c r="EMB50" s="952"/>
      <c r="EMC50" s="952"/>
      <c r="EMD50" s="952"/>
      <c r="EME50" s="952"/>
      <c r="EMF50" s="952"/>
      <c r="EMG50" s="952"/>
      <c r="EMH50" s="952"/>
      <c r="EMI50" s="952"/>
      <c r="EMJ50" s="952"/>
      <c r="EMK50" s="952"/>
      <c r="EML50" s="952"/>
      <c r="EMM50" s="952"/>
      <c r="EMN50" s="952"/>
      <c r="EMO50" s="952"/>
      <c r="EMP50" s="952"/>
      <c r="EMQ50" s="952"/>
      <c r="EMR50" s="952"/>
      <c r="EMS50" s="952"/>
      <c r="EMT50" s="952"/>
      <c r="EMU50" s="952"/>
      <c r="EMV50" s="952"/>
      <c r="EMW50" s="952"/>
      <c r="EMX50" s="952"/>
      <c r="EMY50" s="952"/>
      <c r="EMZ50" s="952"/>
      <c r="ENA50" s="952"/>
      <c r="ENB50" s="952"/>
      <c r="ENC50" s="952"/>
      <c r="END50" s="952"/>
      <c r="ENE50" s="952"/>
      <c r="ENF50" s="952"/>
      <c r="ENG50" s="952"/>
      <c r="ENH50" s="952"/>
      <c r="ENI50" s="952"/>
      <c r="ENJ50" s="952"/>
      <c r="ENK50" s="952"/>
      <c r="ENL50" s="952"/>
      <c r="ENM50" s="952"/>
      <c r="ENN50" s="952"/>
      <c r="ENO50" s="952"/>
      <c r="ENP50" s="952"/>
      <c r="ENQ50" s="952"/>
      <c r="ENR50" s="952"/>
      <c r="ENS50" s="952"/>
      <c r="ENT50" s="952"/>
      <c r="ENU50" s="952"/>
      <c r="ENV50" s="952"/>
      <c r="ENW50" s="952"/>
      <c r="ENX50" s="952"/>
      <c r="ENY50" s="952"/>
      <c r="ENZ50" s="952"/>
      <c r="EOA50" s="952"/>
      <c r="EOB50" s="952"/>
      <c r="EOC50" s="952"/>
      <c r="EOD50" s="952"/>
      <c r="EOE50" s="952"/>
      <c r="EOF50" s="952"/>
      <c r="EOG50" s="952"/>
      <c r="EOH50" s="952"/>
      <c r="EOI50" s="952"/>
      <c r="EOJ50" s="952"/>
      <c r="EOK50" s="952"/>
      <c r="EOL50" s="952"/>
      <c r="EOM50" s="952"/>
      <c r="EON50" s="952"/>
      <c r="EOO50" s="952"/>
      <c r="EOP50" s="952"/>
      <c r="EOQ50" s="952"/>
      <c r="EOR50" s="952"/>
      <c r="EOS50" s="952"/>
      <c r="EOT50" s="952"/>
      <c r="EOU50" s="952"/>
      <c r="EOV50" s="952"/>
      <c r="EOW50" s="952"/>
      <c r="EOX50" s="952"/>
      <c r="EOY50" s="952"/>
      <c r="EOZ50" s="952"/>
      <c r="EPA50" s="952"/>
      <c r="EPB50" s="952"/>
      <c r="EPC50" s="952"/>
      <c r="EPD50" s="952"/>
      <c r="EPE50" s="952"/>
      <c r="EPF50" s="952"/>
      <c r="EPG50" s="952"/>
      <c r="EPH50" s="952"/>
      <c r="EPI50" s="952"/>
      <c r="EPJ50" s="952"/>
      <c r="EPK50" s="952"/>
      <c r="EPL50" s="952"/>
      <c r="EPM50" s="952"/>
      <c r="EPN50" s="952"/>
      <c r="EPO50" s="952"/>
      <c r="EPP50" s="952"/>
      <c r="EPQ50" s="952"/>
      <c r="EPR50" s="952"/>
      <c r="EPS50" s="952"/>
      <c r="EPT50" s="952"/>
      <c r="EPU50" s="952"/>
      <c r="EPV50" s="952"/>
      <c r="EPW50" s="952"/>
      <c r="EPX50" s="952"/>
      <c r="EPY50" s="952"/>
      <c r="EPZ50" s="952"/>
      <c r="EQA50" s="952"/>
      <c r="EQB50" s="952"/>
      <c r="EQC50" s="952"/>
      <c r="EQD50" s="952"/>
      <c r="EQE50" s="952"/>
      <c r="EQF50" s="952"/>
      <c r="EQG50" s="952"/>
      <c r="EQH50" s="952"/>
      <c r="EQI50" s="952"/>
      <c r="EQJ50" s="952"/>
      <c r="EQK50" s="952"/>
      <c r="EQL50" s="952"/>
      <c r="EQM50" s="952"/>
      <c r="EQN50" s="952"/>
      <c r="EQO50" s="952"/>
      <c r="EQP50" s="952"/>
      <c r="EQQ50" s="952"/>
      <c r="EQR50" s="952"/>
      <c r="EQS50" s="952"/>
      <c r="EQT50" s="952"/>
      <c r="EQU50" s="952"/>
      <c r="EQV50" s="952"/>
      <c r="EQW50" s="952"/>
      <c r="EQX50" s="952"/>
      <c r="EQY50" s="952"/>
      <c r="EQZ50" s="952"/>
      <c r="ERA50" s="952"/>
      <c r="ERB50" s="952"/>
      <c r="ERC50" s="952"/>
      <c r="ERD50" s="952"/>
      <c r="ERE50" s="952"/>
      <c r="ERF50" s="952"/>
      <c r="ERG50" s="952"/>
      <c r="ERH50" s="952"/>
      <c r="ERI50" s="952"/>
      <c r="ERJ50" s="952"/>
      <c r="ERK50" s="952"/>
      <c r="ERL50" s="952"/>
      <c r="ERM50" s="952"/>
      <c r="ERN50" s="952"/>
      <c r="ERO50" s="952"/>
      <c r="ERP50" s="952"/>
      <c r="ERQ50" s="952"/>
      <c r="ERR50" s="952"/>
      <c r="ERS50" s="952"/>
      <c r="ERT50" s="952"/>
      <c r="ERU50" s="952"/>
      <c r="ERV50" s="952"/>
      <c r="ERW50" s="952"/>
      <c r="ERX50" s="952"/>
      <c r="ERY50" s="952"/>
      <c r="ERZ50" s="952"/>
      <c r="ESA50" s="952"/>
      <c r="ESB50" s="952"/>
      <c r="ESC50" s="952"/>
      <c r="ESD50" s="952"/>
      <c r="ESE50" s="952"/>
      <c r="ESF50" s="952"/>
      <c r="ESG50" s="952"/>
      <c r="ESH50" s="952"/>
      <c r="ESI50" s="952"/>
      <c r="ESJ50" s="952"/>
      <c r="ESK50" s="952"/>
      <c r="ESL50" s="952"/>
      <c r="ESM50" s="952"/>
      <c r="ESN50" s="952"/>
      <c r="ESO50" s="952"/>
      <c r="ESP50" s="952"/>
      <c r="ESQ50" s="952"/>
      <c r="ESR50" s="952"/>
      <c r="ESS50" s="952"/>
      <c r="EST50" s="952"/>
      <c r="ESU50" s="952"/>
      <c r="ESV50" s="952"/>
      <c r="ESW50" s="952"/>
      <c r="ESX50" s="952"/>
      <c r="ESY50" s="952"/>
      <c r="ESZ50" s="952"/>
      <c r="ETA50" s="952"/>
      <c r="ETB50" s="952"/>
      <c r="ETC50" s="952"/>
      <c r="ETD50" s="952"/>
      <c r="ETE50" s="952"/>
      <c r="ETF50" s="952"/>
      <c r="ETG50" s="952"/>
      <c r="ETH50" s="952"/>
      <c r="ETI50" s="952"/>
      <c r="ETJ50" s="952"/>
      <c r="ETK50" s="952"/>
      <c r="ETL50" s="952"/>
      <c r="ETM50" s="952"/>
      <c r="ETN50" s="952"/>
      <c r="ETO50" s="952"/>
      <c r="ETP50" s="952"/>
      <c r="ETQ50" s="952"/>
      <c r="ETR50" s="952"/>
      <c r="ETS50" s="952"/>
      <c r="ETT50" s="952"/>
      <c r="ETU50" s="952"/>
      <c r="ETV50" s="952"/>
      <c r="ETW50" s="952"/>
      <c r="ETX50" s="952"/>
      <c r="ETY50" s="952"/>
      <c r="ETZ50" s="952"/>
      <c r="EUA50" s="952"/>
      <c r="EUB50" s="952"/>
      <c r="EUC50" s="952"/>
      <c r="EUD50" s="952"/>
      <c r="EUE50" s="952"/>
      <c r="EUF50" s="952"/>
      <c r="EUG50" s="952"/>
      <c r="EUH50" s="952"/>
      <c r="EUI50" s="952"/>
      <c r="EUJ50" s="952"/>
      <c r="EUK50" s="952"/>
      <c r="EUL50" s="952"/>
      <c r="EUM50" s="952"/>
      <c r="EUN50" s="952"/>
      <c r="EUO50" s="952"/>
      <c r="EUP50" s="952"/>
      <c r="EUQ50" s="952"/>
      <c r="EUR50" s="952"/>
      <c r="EUS50" s="952"/>
      <c r="EUT50" s="952"/>
      <c r="EUU50" s="952"/>
      <c r="EUV50" s="952"/>
      <c r="EUW50" s="952"/>
      <c r="EUX50" s="952"/>
      <c r="EUY50" s="952"/>
      <c r="EUZ50" s="952"/>
      <c r="EVA50" s="952"/>
      <c r="EVB50" s="952"/>
      <c r="EVC50" s="952"/>
      <c r="EVD50" s="952"/>
      <c r="EVE50" s="952"/>
      <c r="EVF50" s="952"/>
      <c r="EVG50" s="952"/>
      <c r="EVH50" s="952"/>
      <c r="EVI50" s="952"/>
      <c r="EVJ50" s="952"/>
      <c r="EVK50" s="952"/>
      <c r="EVL50" s="952"/>
      <c r="EVM50" s="952"/>
      <c r="EVN50" s="952"/>
      <c r="EVO50" s="952"/>
      <c r="EVP50" s="952"/>
      <c r="EVQ50" s="952"/>
      <c r="EVR50" s="952"/>
      <c r="EVS50" s="952"/>
      <c r="EVT50" s="952"/>
      <c r="EVU50" s="952"/>
      <c r="EVV50" s="952"/>
      <c r="EVW50" s="952"/>
      <c r="EVX50" s="952"/>
      <c r="EVY50" s="952"/>
      <c r="EVZ50" s="952"/>
      <c r="EWA50" s="952"/>
      <c r="EWB50" s="952"/>
      <c r="EWC50" s="952"/>
      <c r="EWD50" s="952"/>
      <c r="EWE50" s="952"/>
      <c r="EWF50" s="952"/>
      <c r="EWG50" s="952"/>
      <c r="EWH50" s="952"/>
      <c r="EWI50" s="952"/>
      <c r="EWJ50" s="952"/>
      <c r="EWK50" s="952"/>
      <c r="EWL50" s="952"/>
      <c r="EWM50" s="952"/>
      <c r="EWN50" s="952"/>
      <c r="EWO50" s="952"/>
      <c r="EWP50" s="952"/>
      <c r="EWQ50" s="952"/>
      <c r="EWR50" s="952"/>
      <c r="EWS50" s="952"/>
      <c r="EWT50" s="952"/>
      <c r="EWU50" s="952"/>
      <c r="EWV50" s="952"/>
      <c r="EWW50" s="952"/>
      <c r="EWX50" s="952"/>
      <c r="EWY50" s="952"/>
      <c r="EWZ50" s="952"/>
      <c r="EXA50" s="952"/>
      <c r="EXB50" s="952"/>
      <c r="EXC50" s="952"/>
      <c r="EXD50" s="952"/>
      <c r="EXE50" s="952"/>
      <c r="EXF50" s="952"/>
      <c r="EXG50" s="952"/>
      <c r="EXH50" s="952"/>
      <c r="EXI50" s="952"/>
      <c r="EXJ50" s="952"/>
      <c r="EXK50" s="952"/>
      <c r="EXL50" s="952"/>
      <c r="EXM50" s="952"/>
      <c r="EXN50" s="952"/>
      <c r="EXO50" s="952"/>
      <c r="EXP50" s="952"/>
      <c r="EXQ50" s="952"/>
      <c r="EXR50" s="952"/>
      <c r="EXS50" s="952"/>
      <c r="EXT50" s="952"/>
      <c r="EXU50" s="952"/>
      <c r="EXV50" s="952"/>
      <c r="EXW50" s="952"/>
      <c r="EXX50" s="952"/>
      <c r="EXY50" s="952"/>
      <c r="EXZ50" s="952"/>
      <c r="EYA50" s="952"/>
      <c r="EYB50" s="952"/>
      <c r="EYC50" s="952"/>
      <c r="EYD50" s="952"/>
      <c r="EYE50" s="952"/>
      <c r="EYF50" s="952"/>
      <c r="EYG50" s="952"/>
      <c r="EYH50" s="952"/>
      <c r="EYI50" s="952"/>
      <c r="EYJ50" s="952"/>
      <c r="EYK50" s="952"/>
      <c r="EYL50" s="952"/>
      <c r="EYM50" s="952"/>
      <c r="EYN50" s="952"/>
      <c r="EYO50" s="952"/>
      <c r="EYP50" s="952"/>
      <c r="EYQ50" s="952"/>
      <c r="EYR50" s="952"/>
      <c r="EYS50" s="952"/>
      <c r="EYT50" s="952"/>
      <c r="EYU50" s="952"/>
      <c r="EYV50" s="952"/>
      <c r="EYW50" s="952"/>
      <c r="EYX50" s="952"/>
      <c r="EYY50" s="952"/>
      <c r="EYZ50" s="952"/>
      <c r="EZA50" s="952"/>
      <c r="EZB50" s="952"/>
      <c r="EZC50" s="952"/>
      <c r="EZD50" s="952"/>
      <c r="EZE50" s="952"/>
      <c r="EZF50" s="952"/>
      <c r="EZG50" s="952"/>
      <c r="EZH50" s="952"/>
      <c r="EZI50" s="952"/>
      <c r="EZJ50" s="952"/>
      <c r="EZK50" s="952"/>
      <c r="EZL50" s="952"/>
      <c r="EZM50" s="952"/>
      <c r="EZN50" s="952"/>
      <c r="EZO50" s="952"/>
      <c r="EZP50" s="952"/>
      <c r="EZQ50" s="952"/>
      <c r="EZR50" s="952"/>
      <c r="EZS50" s="952"/>
      <c r="EZT50" s="952"/>
      <c r="EZU50" s="952"/>
      <c r="EZV50" s="952"/>
      <c r="EZW50" s="952"/>
      <c r="EZX50" s="952"/>
      <c r="EZY50" s="952"/>
      <c r="EZZ50" s="952"/>
      <c r="FAA50" s="952"/>
      <c r="FAB50" s="952"/>
      <c r="FAC50" s="952"/>
      <c r="FAD50" s="952"/>
      <c r="FAE50" s="952"/>
      <c r="FAF50" s="952"/>
      <c r="FAG50" s="952"/>
      <c r="FAH50" s="952"/>
      <c r="FAI50" s="952"/>
      <c r="FAJ50" s="952"/>
      <c r="FAK50" s="952"/>
      <c r="FAL50" s="952"/>
      <c r="FAM50" s="952"/>
      <c r="FAN50" s="952"/>
      <c r="FAO50" s="952"/>
      <c r="FAP50" s="952"/>
      <c r="FAQ50" s="952"/>
      <c r="FAR50" s="952"/>
      <c r="FAS50" s="952"/>
      <c r="FAT50" s="952"/>
      <c r="FAU50" s="952"/>
      <c r="FAV50" s="952"/>
      <c r="FAW50" s="952"/>
      <c r="FAX50" s="952"/>
      <c r="FAY50" s="952"/>
      <c r="FAZ50" s="952"/>
      <c r="FBA50" s="952"/>
      <c r="FBB50" s="952"/>
      <c r="FBC50" s="952"/>
      <c r="FBD50" s="952"/>
      <c r="FBE50" s="952"/>
      <c r="FBF50" s="952"/>
      <c r="FBG50" s="952"/>
      <c r="FBH50" s="952"/>
      <c r="FBI50" s="952"/>
      <c r="FBJ50" s="952"/>
      <c r="FBK50" s="952"/>
      <c r="FBL50" s="952"/>
      <c r="FBM50" s="952"/>
      <c r="FBN50" s="952"/>
      <c r="FBO50" s="952"/>
      <c r="FBP50" s="952"/>
      <c r="FBQ50" s="952"/>
      <c r="FBR50" s="952"/>
      <c r="FBS50" s="952"/>
      <c r="FBT50" s="952"/>
      <c r="FBU50" s="952"/>
      <c r="FBV50" s="952"/>
      <c r="FBW50" s="952"/>
      <c r="FBX50" s="952"/>
      <c r="FBY50" s="952"/>
      <c r="FBZ50" s="952"/>
      <c r="FCA50" s="952"/>
      <c r="FCB50" s="952"/>
      <c r="FCC50" s="952"/>
      <c r="FCD50" s="952"/>
      <c r="FCE50" s="952"/>
      <c r="FCF50" s="952"/>
      <c r="FCG50" s="952"/>
      <c r="FCH50" s="952"/>
      <c r="FCI50" s="952"/>
      <c r="FCJ50" s="952"/>
      <c r="FCK50" s="952"/>
      <c r="FCL50" s="952"/>
      <c r="FCM50" s="952"/>
      <c r="FCN50" s="952"/>
      <c r="FCO50" s="952"/>
      <c r="FCP50" s="952"/>
      <c r="FCQ50" s="952"/>
      <c r="FCR50" s="952"/>
      <c r="FCS50" s="952"/>
      <c r="FCT50" s="952"/>
      <c r="FCU50" s="952"/>
      <c r="FCV50" s="952"/>
      <c r="FCW50" s="952"/>
      <c r="FCX50" s="952"/>
      <c r="FCY50" s="952"/>
      <c r="FCZ50" s="952"/>
      <c r="FDA50" s="952"/>
      <c r="FDB50" s="952"/>
      <c r="FDC50" s="952"/>
      <c r="FDD50" s="952"/>
      <c r="FDE50" s="952"/>
      <c r="FDF50" s="952"/>
      <c r="FDG50" s="952"/>
      <c r="FDH50" s="952"/>
      <c r="FDI50" s="952"/>
      <c r="FDJ50" s="952"/>
      <c r="FDK50" s="952"/>
      <c r="FDL50" s="952"/>
      <c r="FDM50" s="952"/>
      <c r="FDN50" s="952"/>
      <c r="FDO50" s="952"/>
      <c r="FDP50" s="952"/>
      <c r="FDQ50" s="952"/>
      <c r="FDR50" s="952"/>
      <c r="FDS50" s="952"/>
      <c r="FDT50" s="952"/>
      <c r="FDU50" s="952"/>
      <c r="FDV50" s="952"/>
      <c r="FDW50" s="952"/>
      <c r="FDX50" s="952"/>
      <c r="FDY50" s="952"/>
      <c r="FDZ50" s="952"/>
      <c r="FEA50" s="952"/>
      <c r="FEB50" s="952"/>
      <c r="FEC50" s="952"/>
      <c r="FED50" s="952"/>
      <c r="FEE50" s="952"/>
      <c r="FEF50" s="952"/>
      <c r="FEG50" s="952"/>
      <c r="FEH50" s="952"/>
      <c r="FEI50" s="952"/>
      <c r="FEJ50" s="952"/>
      <c r="FEK50" s="952"/>
      <c r="FEL50" s="952"/>
      <c r="FEM50" s="952"/>
      <c r="FEN50" s="952"/>
      <c r="FEO50" s="952"/>
      <c r="FEP50" s="952"/>
      <c r="FEQ50" s="952"/>
      <c r="FER50" s="952"/>
      <c r="FES50" s="952"/>
      <c r="FET50" s="952"/>
      <c r="FEU50" s="952"/>
      <c r="FEV50" s="952"/>
      <c r="FEW50" s="952"/>
      <c r="FEX50" s="952"/>
      <c r="FEY50" s="952"/>
      <c r="FEZ50" s="952"/>
      <c r="FFA50" s="952"/>
      <c r="FFB50" s="952"/>
      <c r="FFC50" s="952"/>
      <c r="FFD50" s="952"/>
      <c r="FFE50" s="952"/>
      <c r="FFF50" s="952"/>
      <c r="FFG50" s="952"/>
      <c r="FFH50" s="952"/>
      <c r="FFI50" s="952"/>
      <c r="FFJ50" s="952"/>
      <c r="FFK50" s="952"/>
      <c r="FFL50" s="952"/>
      <c r="FFM50" s="952"/>
      <c r="FFN50" s="952"/>
      <c r="FFO50" s="952"/>
      <c r="FFP50" s="952"/>
      <c r="FFQ50" s="952"/>
      <c r="FFR50" s="952"/>
      <c r="FFS50" s="952"/>
      <c r="FFT50" s="952"/>
      <c r="FFU50" s="952"/>
      <c r="FFV50" s="952"/>
      <c r="FFW50" s="952"/>
      <c r="FFX50" s="952"/>
      <c r="FFY50" s="952"/>
      <c r="FFZ50" s="952"/>
      <c r="FGA50" s="952"/>
      <c r="FGB50" s="952"/>
      <c r="FGC50" s="952"/>
      <c r="FGD50" s="952"/>
      <c r="FGE50" s="952"/>
      <c r="FGF50" s="952"/>
      <c r="FGG50" s="952"/>
      <c r="FGH50" s="952"/>
      <c r="FGI50" s="952"/>
      <c r="FGJ50" s="952"/>
      <c r="FGK50" s="952"/>
      <c r="FGL50" s="952"/>
      <c r="FGM50" s="952"/>
      <c r="FGN50" s="952"/>
      <c r="FGO50" s="952"/>
      <c r="FGP50" s="952"/>
      <c r="FGQ50" s="952"/>
      <c r="FGR50" s="952"/>
      <c r="FGS50" s="952"/>
      <c r="FGT50" s="952"/>
      <c r="FGU50" s="952"/>
      <c r="FGV50" s="952"/>
      <c r="FGW50" s="952"/>
      <c r="FGX50" s="952"/>
      <c r="FGY50" s="952"/>
      <c r="FGZ50" s="952"/>
      <c r="FHA50" s="952"/>
      <c r="FHB50" s="952"/>
      <c r="FHC50" s="952"/>
      <c r="FHD50" s="952"/>
      <c r="FHE50" s="952"/>
      <c r="FHF50" s="952"/>
      <c r="FHG50" s="952"/>
      <c r="FHH50" s="952"/>
      <c r="FHI50" s="952"/>
      <c r="FHJ50" s="952"/>
      <c r="FHK50" s="952"/>
      <c r="FHL50" s="952"/>
      <c r="FHM50" s="952"/>
      <c r="FHN50" s="952"/>
      <c r="FHO50" s="952"/>
      <c r="FHP50" s="952"/>
      <c r="FHQ50" s="952"/>
      <c r="FHR50" s="952"/>
      <c r="FHS50" s="952"/>
      <c r="FHT50" s="952"/>
      <c r="FHU50" s="952"/>
      <c r="FHV50" s="952"/>
      <c r="FHW50" s="952"/>
      <c r="FHX50" s="952"/>
      <c r="FHY50" s="952"/>
      <c r="FHZ50" s="952"/>
      <c r="FIA50" s="952"/>
      <c r="FIB50" s="952"/>
      <c r="FIC50" s="952"/>
      <c r="FID50" s="952"/>
      <c r="FIE50" s="952"/>
      <c r="FIF50" s="952"/>
      <c r="FIG50" s="952"/>
      <c r="FIH50" s="952"/>
      <c r="FII50" s="952"/>
      <c r="FIJ50" s="952"/>
      <c r="FIK50" s="952"/>
      <c r="FIL50" s="952"/>
      <c r="FIM50" s="952"/>
      <c r="FIN50" s="952"/>
      <c r="FIO50" s="952"/>
      <c r="FIP50" s="952"/>
      <c r="FIQ50" s="952"/>
      <c r="FIR50" s="952"/>
      <c r="FIS50" s="952"/>
      <c r="FIT50" s="952"/>
      <c r="FIU50" s="952"/>
      <c r="FIV50" s="952"/>
      <c r="FIW50" s="952"/>
      <c r="FIX50" s="952"/>
      <c r="FIY50" s="952"/>
      <c r="FIZ50" s="952"/>
      <c r="FJA50" s="952"/>
      <c r="FJB50" s="952"/>
      <c r="FJC50" s="952"/>
      <c r="FJD50" s="952"/>
      <c r="FJE50" s="952"/>
      <c r="FJF50" s="952"/>
      <c r="FJG50" s="952"/>
      <c r="FJH50" s="952"/>
      <c r="FJI50" s="952"/>
      <c r="FJJ50" s="952"/>
      <c r="FJK50" s="952"/>
      <c r="FJL50" s="952"/>
      <c r="FJM50" s="952"/>
      <c r="FJN50" s="952"/>
      <c r="FJO50" s="952"/>
      <c r="FJP50" s="952"/>
      <c r="FJQ50" s="952"/>
      <c r="FJR50" s="952"/>
      <c r="FJS50" s="952"/>
      <c r="FJT50" s="952"/>
      <c r="FJU50" s="952"/>
      <c r="FJV50" s="952"/>
      <c r="FJW50" s="952"/>
      <c r="FJX50" s="952"/>
      <c r="FJY50" s="952"/>
      <c r="FJZ50" s="952"/>
      <c r="FKA50" s="952"/>
      <c r="FKB50" s="952"/>
      <c r="FKC50" s="952"/>
      <c r="FKD50" s="952"/>
      <c r="FKE50" s="952"/>
      <c r="FKF50" s="952"/>
      <c r="FKG50" s="952"/>
      <c r="FKH50" s="952"/>
      <c r="FKI50" s="952"/>
      <c r="FKJ50" s="952"/>
      <c r="FKK50" s="952"/>
      <c r="FKL50" s="952"/>
      <c r="FKM50" s="952"/>
      <c r="FKN50" s="952"/>
      <c r="FKO50" s="952"/>
      <c r="FKP50" s="952"/>
      <c r="FKQ50" s="952"/>
      <c r="FKR50" s="952"/>
      <c r="FKS50" s="952"/>
      <c r="FKT50" s="952"/>
      <c r="FKU50" s="952"/>
      <c r="FKV50" s="952"/>
      <c r="FKW50" s="952"/>
      <c r="FKX50" s="952"/>
      <c r="FKY50" s="952"/>
      <c r="FKZ50" s="952"/>
      <c r="FLA50" s="952"/>
      <c r="FLB50" s="952"/>
      <c r="FLC50" s="952"/>
      <c r="FLD50" s="952"/>
      <c r="FLE50" s="952"/>
      <c r="FLF50" s="952"/>
      <c r="FLG50" s="952"/>
      <c r="FLH50" s="952"/>
      <c r="FLI50" s="952"/>
      <c r="FLJ50" s="952"/>
      <c r="FLK50" s="952"/>
      <c r="FLL50" s="952"/>
      <c r="FLM50" s="952"/>
      <c r="FLN50" s="952"/>
      <c r="FLO50" s="952"/>
      <c r="FLP50" s="952"/>
      <c r="FLQ50" s="952"/>
      <c r="FLR50" s="952"/>
      <c r="FLS50" s="952"/>
      <c r="FLT50" s="952"/>
      <c r="FLU50" s="952"/>
      <c r="FLV50" s="952"/>
      <c r="FLW50" s="952"/>
      <c r="FLX50" s="952"/>
      <c r="FLY50" s="952"/>
      <c r="FLZ50" s="952"/>
      <c r="FMA50" s="952"/>
      <c r="FMB50" s="952"/>
      <c r="FMC50" s="952"/>
      <c r="FMD50" s="952"/>
      <c r="FME50" s="952"/>
      <c r="FMF50" s="952"/>
      <c r="FMG50" s="952"/>
      <c r="FMH50" s="952"/>
      <c r="FMI50" s="952"/>
      <c r="FMJ50" s="952"/>
      <c r="FMK50" s="952"/>
      <c r="FML50" s="952"/>
      <c r="FMM50" s="952"/>
      <c r="FMN50" s="952"/>
      <c r="FMO50" s="952"/>
      <c r="FMP50" s="952"/>
      <c r="FMQ50" s="952"/>
      <c r="FMR50" s="952"/>
      <c r="FMS50" s="952"/>
      <c r="FMT50" s="952"/>
      <c r="FMU50" s="952"/>
      <c r="FMV50" s="952"/>
      <c r="FMW50" s="952"/>
      <c r="FMX50" s="952"/>
      <c r="FMY50" s="952"/>
      <c r="FMZ50" s="952"/>
      <c r="FNA50" s="952"/>
      <c r="FNB50" s="952"/>
      <c r="FNC50" s="952"/>
      <c r="FND50" s="952"/>
      <c r="FNE50" s="952"/>
      <c r="FNF50" s="952"/>
      <c r="FNG50" s="952"/>
      <c r="FNH50" s="952"/>
      <c r="FNI50" s="952"/>
      <c r="FNJ50" s="952"/>
      <c r="FNK50" s="952"/>
      <c r="FNL50" s="952"/>
      <c r="FNM50" s="952"/>
      <c r="FNN50" s="952"/>
      <c r="FNO50" s="952"/>
      <c r="FNP50" s="952"/>
      <c r="FNQ50" s="952"/>
      <c r="FNR50" s="952"/>
      <c r="FNS50" s="952"/>
      <c r="FNT50" s="952"/>
      <c r="FNU50" s="952"/>
      <c r="FNV50" s="952"/>
      <c r="FNW50" s="952"/>
      <c r="FNX50" s="952"/>
      <c r="FNY50" s="952"/>
      <c r="FNZ50" s="952"/>
      <c r="FOA50" s="952"/>
      <c r="FOB50" s="952"/>
      <c r="FOC50" s="952"/>
      <c r="FOD50" s="952"/>
      <c r="FOE50" s="952"/>
      <c r="FOF50" s="952"/>
      <c r="FOG50" s="952"/>
      <c r="FOH50" s="952"/>
      <c r="FOI50" s="952"/>
      <c r="FOJ50" s="952"/>
      <c r="FOK50" s="952"/>
      <c r="FOL50" s="952"/>
      <c r="FOM50" s="952"/>
      <c r="FON50" s="952"/>
      <c r="FOO50" s="952"/>
      <c r="FOP50" s="952"/>
      <c r="FOQ50" s="952"/>
      <c r="FOR50" s="952"/>
      <c r="FOS50" s="952"/>
      <c r="FOT50" s="952"/>
      <c r="FOU50" s="952"/>
      <c r="FOV50" s="952"/>
      <c r="FOW50" s="952"/>
      <c r="FOX50" s="952"/>
      <c r="FOY50" s="952"/>
      <c r="FOZ50" s="952"/>
      <c r="FPA50" s="952"/>
      <c r="FPB50" s="952"/>
      <c r="FPC50" s="952"/>
      <c r="FPD50" s="952"/>
      <c r="FPE50" s="952"/>
      <c r="FPF50" s="952"/>
      <c r="FPG50" s="952"/>
      <c r="FPH50" s="952"/>
      <c r="FPI50" s="952"/>
      <c r="FPJ50" s="952"/>
      <c r="FPK50" s="952"/>
      <c r="FPL50" s="952"/>
      <c r="FPM50" s="952"/>
      <c r="FPN50" s="952"/>
      <c r="FPO50" s="952"/>
      <c r="FPP50" s="952"/>
      <c r="FPQ50" s="952"/>
      <c r="FPR50" s="952"/>
      <c r="FPS50" s="952"/>
      <c r="FPT50" s="952"/>
      <c r="FPU50" s="952"/>
      <c r="FPV50" s="952"/>
      <c r="FPW50" s="952"/>
      <c r="FPX50" s="952"/>
      <c r="FPY50" s="952"/>
      <c r="FPZ50" s="952"/>
      <c r="FQA50" s="952"/>
      <c r="FQB50" s="952"/>
      <c r="FQC50" s="952"/>
      <c r="FQD50" s="952"/>
      <c r="FQE50" s="952"/>
      <c r="FQF50" s="952"/>
      <c r="FQG50" s="952"/>
      <c r="FQH50" s="952"/>
      <c r="FQI50" s="952"/>
      <c r="FQJ50" s="952"/>
      <c r="FQK50" s="952"/>
      <c r="FQL50" s="952"/>
      <c r="FQM50" s="952"/>
      <c r="FQN50" s="952"/>
      <c r="FQO50" s="952"/>
      <c r="FQP50" s="952"/>
      <c r="FQQ50" s="952"/>
      <c r="FQR50" s="952"/>
      <c r="FQS50" s="952"/>
      <c r="FQT50" s="952"/>
      <c r="FQU50" s="952"/>
      <c r="FQV50" s="952"/>
      <c r="FQW50" s="952"/>
      <c r="FQX50" s="952"/>
      <c r="FQY50" s="952"/>
      <c r="FQZ50" s="952"/>
      <c r="FRA50" s="952"/>
      <c r="FRB50" s="952"/>
      <c r="FRC50" s="952"/>
      <c r="FRD50" s="952"/>
      <c r="FRE50" s="952"/>
      <c r="FRF50" s="952"/>
      <c r="FRG50" s="952"/>
      <c r="FRH50" s="952"/>
      <c r="FRI50" s="952"/>
      <c r="FRJ50" s="952"/>
      <c r="FRK50" s="952"/>
      <c r="FRL50" s="952"/>
      <c r="FRM50" s="952"/>
      <c r="FRN50" s="952"/>
      <c r="FRO50" s="952"/>
      <c r="FRP50" s="952"/>
      <c r="FRQ50" s="952"/>
      <c r="FRR50" s="952"/>
      <c r="FRS50" s="952"/>
      <c r="FRT50" s="952"/>
      <c r="FRU50" s="952"/>
      <c r="FRV50" s="952"/>
      <c r="FRW50" s="952"/>
      <c r="FRX50" s="952"/>
      <c r="FRY50" s="952"/>
      <c r="FRZ50" s="952"/>
      <c r="FSA50" s="952"/>
      <c r="FSB50" s="952"/>
      <c r="FSC50" s="952"/>
      <c r="FSD50" s="952"/>
      <c r="FSE50" s="952"/>
      <c r="FSF50" s="952"/>
      <c r="FSG50" s="952"/>
      <c r="FSH50" s="952"/>
      <c r="FSI50" s="952"/>
      <c r="FSJ50" s="952"/>
      <c r="FSK50" s="952"/>
      <c r="FSL50" s="952"/>
      <c r="FSM50" s="952"/>
      <c r="FSN50" s="952"/>
      <c r="FSO50" s="952"/>
      <c r="FSP50" s="952"/>
      <c r="FSQ50" s="952"/>
      <c r="FSR50" s="952"/>
      <c r="FSS50" s="952"/>
      <c r="FST50" s="952"/>
      <c r="FSU50" s="952"/>
      <c r="FSV50" s="952"/>
      <c r="FSW50" s="952"/>
      <c r="FSX50" s="952"/>
      <c r="FSY50" s="952"/>
      <c r="FSZ50" s="952"/>
      <c r="FTA50" s="952"/>
      <c r="FTB50" s="952"/>
      <c r="FTC50" s="952"/>
      <c r="FTD50" s="952"/>
      <c r="FTE50" s="952"/>
      <c r="FTF50" s="952"/>
      <c r="FTG50" s="952"/>
      <c r="FTH50" s="952"/>
      <c r="FTI50" s="952"/>
      <c r="FTJ50" s="952"/>
      <c r="FTK50" s="952"/>
      <c r="FTL50" s="952"/>
      <c r="FTM50" s="952"/>
      <c r="FTN50" s="952"/>
      <c r="FTO50" s="952"/>
      <c r="FTP50" s="952"/>
      <c r="FTQ50" s="952"/>
      <c r="FTR50" s="952"/>
      <c r="FTS50" s="952"/>
      <c r="FTT50" s="952"/>
      <c r="FTU50" s="952"/>
      <c r="FTV50" s="952"/>
      <c r="FTW50" s="952"/>
      <c r="FTX50" s="952"/>
      <c r="FTY50" s="952"/>
      <c r="FTZ50" s="952"/>
      <c r="FUA50" s="952"/>
      <c r="FUB50" s="952"/>
      <c r="FUC50" s="952"/>
      <c r="FUD50" s="952"/>
      <c r="FUE50" s="952"/>
      <c r="FUF50" s="952"/>
      <c r="FUG50" s="952"/>
      <c r="FUH50" s="952"/>
      <c r="FUI50" s="952"/>
      <c r="FUJ50" s="952"/>
      <c r="FUK50" s="952"/>
      <c r="FUL50" s="952"/>
      <c r="FUM50" s="952"/>
      <c r="FUN50" s="952"/>
      <c r="FUO50" s="952"/>
      <c r="FUP50" s="952"/>
      <c r="FUQ50" s="952"/>
      <c r="FUR50" s="952"/>
      <c r="FUS50" s="952"/>
      <c r="FUT50" s="952"/>
      <c r="FUU50" s="952"/>
      <c r="FUV50" s="952"/>
      <c r="FUW50" s="952"/>
      <c r="FUX50" s="952"/>
      <c r="FUY50" s="952"/>
      <c r="FUZ50" s="952"/>
      <c r="FVA50" s="952"/>
      <c r="FVB50" s="952"/>
      <c r="FVC50" s="952"/>
      <c r="FVD50" s="952"/>
      <c r="FVE50" s="952"/>
      <c r="FVF50" s="952"/>
      <c r="FVG50" s="952"/>
      <c r="FVH50" s="952"/>
      <c r="FVI50" s="952"/>
      <c r="FVJ50" s="952"/>
      <c r="FVK50" s="952"/>
      <c r="FVL50" s="952"/>
      <c r="FVM50" s="952"/>
      <c r="FVN50" s="952"/>
      <c r="FVO50" s="952"/>
      <c r="FVP50" s="952"/>
      <c r="FVQ50" s="952"/>
      <c r="FVR50" s="952"/>
      <c r="FVS50" s="952"/>
      <c r="FVT50" s="952"/>
      <c r="FVU50" s="952"/>
      <c r="FVV50" s="952"/>
      <c r="FVW50" s="952"/>
      <c r="FVX50" s="952"/>
      <c r="FVY50" s="952"/>
      <c r="FVZ50" s="952"/>
      <c r="FWA50" s="952"/>
      <c r="FWB50" s="952"/>
      <c r="FWC50" s="952"/>
      <c r="FWD50" s="952"/>
      <c r="FWE50" s="952"/>
      <c r="FWF50" s="952"/>
      <c r="FWG50" s="952"/>
      <c r="FWH50" s="952"/>
      <c r="FWI50" s="952"/>
      <c r="FWJ50" s="952"/>
      <c r="FWK50" s="952"/>
      <c r="FWL50" s="952"/>
      <c r="FWM50" s="952"/>
      <c r="FWN50" s="952"/>
      <c r="FWO50" s="952"/>
      <c r="FWP50" s="952"/>
      <c r="FWQ50" s="952"/>
      <c r="FWR50" s="952"/>
      <c r="FWS50" s="952"/>
      <c r="FWT50" s="952"/>
      <c r="FWU50" s="952"/>
      <c r="FWV50" s="952"/>
      <c r="FWW50" s="952"/>
      <c r="FWX50" s="952"/>
      <c r="FWY50" s="952"/>
      <c r="FWZ50" s="952"/>
      <c r="FXA50" s="952"/>
      <c r="FXB50" s="952"/>
      <c r="FXC50" s="952"/>
      <c r="FXD50" s="952"/>
      <c r="FXE50" s="952"/>
      <c r="FXF50" s="952"/>
      <c r="FXG50" s="952"/>
      <c r="FXH50" s="952"/>
      <c r="FXI50" s="952"/>
      <c r="FXJ50" s="952"/>
      <c r="FXK50" s="952"/>
      <c r="FXL50" s="952"/>
      <c r="FXM50" s="952"/>
      <c r="FXN50" s="952"/>
      <c r="FXO50" s="952"/>
      <c r="FXP50" s="952"/>
      <c r="FXQ50" s="952"/>
      <c r="FXR50" s="952"/>
      <c r="FXS50" s="952"/>
      <c r="FXT50" s="952"/>
      <c r="FXU50" s="952"/>
      <c r="FXV50" s="952"/>
      <c r="FXW50" s="952"/>
      <c r="FXX50" s="952"/>
      <c r="FXY50" s="952"/>
      <c r="FXZ50" s="952"/>
      <c r="FYA50" s="952"/>
      <c r="FYB50" s="952"/>
      <c r="FYC50" s="952"/>
      <c r="FYD50" s="952"/>
      <c r="FYE50" s="952"/>
      <c r="FYF50" s="952"/>
      <c r="FYG50" s="952"/>
      <c r="FYH50" s="952"/>
      <c r="FYI50" s="952"/>
      <c r="FYJ50" s="952"/>
      <c r="FYK50" s="952"/>
      <c r="FYL50" s="952"/>
      <c r="FYM50" s="952"/>
      <c r="FYN50" s="952"/>
      <c r="FYO50" s="952"/>
      <c r="FYP50" s="952"/>
      <c r="FYQ50" s="952"/>
      <c r="FYR50" s="952"/>
      <c r="FYS50" s="952"/>
      <c r="FYT50" s="952"/>
      <c r="FYU50" s="952"/>
      <c r="FYV50" s="952"/>
      <c r="FYW50" s="952"/>
      <c r="FYX50" s="952"/>
      <c r="FYY50" s="952"/>
      <c r="FYZ50" s="952"/>
      <c r="FZA50" s="952"/>
      <c r="FZB50" s="952"/>
      <c r="FZC50" s="952"/>
      <c r="FZD50" s="952"/>
      <c r="FZE50" s="952"/>
      <c r="FZF50" s="952"/>
      <c r="FZG50" s="952"/>
      <c r="FZH50" s="952"/>
      <c r="FZI50" s="952"/>
      <c r="FZJ50" s="952"/>
      <c r="FZK50" s="952"/>
      <c r="FZL50" s="952"/>
      <c r="FZM50" s="952"/>
      <c r="FZN50" s="952"/>
      <c r="FZO50" s="952"/>
      <c r="FZP50" s="952"/>
      <c r="FZQ50" s="952"/>
      <c r="FZR50" s="952"/>
      <c r="FZS50" s="952"/>
      <c r="FZT50" s="952"/>
      <c r="FZU50" s="952"/>
      <c r="FZV50" s="952"/>
      <c r="FZW50" s="952"/>
      <c r="FZX50" s="952"/>
      <c r="FZY50" s="952"/>
      <c r="FZZ50" s="952"/>
      <c r="GAA50" s="952"/>
      <c r="GAB50" s="952"/>
      <c r="GAC50" s="952"/>
      <c r="GAD50" s="952"/>
      <c r="GAE50" s="952"/>
      <c r="GAF50" s="952"/>
      <c r="GAG50" s="952"/>
      <c r="GAH50" s="952"/>
      <c r="GAI50" s="952"/>
      <c r="GAJ50" s="952"/>
      <c r="GAK50" s="952"/>
      <c r="GAL50" s="952"/>
      <c r="GAM50" s="952"/>
      <c r="GAN50" s="952"/>
      <c r="GAO50" s="952"/>
      <c r="GAP50" s="952"/>
      <c r="GAQ50" s="952"/>
      <c r="GAR50" s="952"/>
      <c r="GAS50" s="952"/>
      <c r="GAT50" s="952"/>
      <c r="GAU50" s="952"/>
      <c r="GAV50" s="952"/>
      <c r="GAW50" s="952"/>
      <c r="GAX50" s="952"/>
      <c r="GAY50" s="952"/>
      <c r="GAZ50" s="952"/>
      <c r="GBA50" s="952"/>
      <c r="GBB50" s="952"/>
      <c r="GBC50" s="952"/>
      <c r="GBD50" s="952"/>
      <c r="GBE50" s="952"/>
      <c r="GBF50" s="952"/>
      <c r="GBG50" s="952"/>
      <c r="GBH50" s="952"/>
      <c r="GBI50" s="952"/>
      <c r="GBJ50" s="952"/>
      <c r="GBK50" s="952"/>
      <c r="GBL50" s="952"/>
      <c r="GBM50" s="952"/>
      <c r="GBN50" s="952"/>
      <c r="GBO50" s="952"/>
      <c r="GBP50" s="952"/>
      <c r="GBQ50" s="952"/>
      <c r="GBR50" s="952"/>
      <c r="GBS50" s="952"/>
      <c r="GBT50" s="952"/>
      <c r="GBU50" s="952"/>
      <c r="GBV50" s="952"/>
      <c r="GBW50" s="952"/>
      <c r="GBX50" s="952"/>
      <c r="GBY50" s="952"/>
      <c r="GBZ50" s="952"/>
      <c r="GCA50" s="952"/>
      <c r="GCB50" s="952"/>
      <c r="GCC50" s="952"/>
      <c r="GCD50" s="952"/>
      <c r="GCE50" s="952"/>
      <c r="GCF50" s="952"/>
      <c r="GCG50" s="952"/>
      <c r="GCH50" s="952"/>
      <c r="GCI50" s="952"/>
      <c r="GCJ50" s="952"/>
      <c r="GCK50" s="952"/>
      <c r="GCL50" s="952"/>
      <c r="GCM50" s="952"/>
      <c r="GCN50" s="952"/>
      <c r="GCO50" s="952"/>
      <c r="GCP50" s="952"/>
      <c r="GCQ50" s="952"/>
      <c r="GCR50" s="952"/>
      <c r="GCS50" s="952"/>
      <c r="GCT50" s="952"/>
      <c r="GCU50" s="952"/>
      <c r="GCV50" s="952"/>
      <c r="GCW50" s="952"/>
      <c r="GCX50" s="952"/>
      <c r="GCY50" s="952"/>
      <c r="GCZ50" s="952"/>
      <c r="GDA50" s="952"/>
      <c r="GDB50" s="952"/>
      <c r="GDC50" s="952"/>
      <c r="GDD50" s="952"/>
      <c r="GDE50" s="952"/>
      <c r="GDF50" s="952"/>
      <c r="GDG50" s="952"/>
      <c r="GDH50" s="952"/>
      <c r="GDI50" s="952"/>
      <c r="GDJ50" s="952"/>
      <c r="GDK50" s="952"/>
      <c r="GDL50" s="952"/>
      <c r="GDM50" s="952"/>
      <c r="GDN50" s="952"/>
      <c r="GDO50" s="952"/>
      <c r="GDP50" s="952"/>
      <c r="GDQ50" s="952"/>
      <c r="GDR50" s="952"/>
      <c r="GDS50" s="952"/>
      <c r="GDT50" s="952"/>
      <c r="GDU50" s="952"/>
      <c r="GDV50" s="952"/>
      <c r="GDW50" s="952"/>
      <c r="GDX50" s="952"/>
      <c r="GDY50" s="952"/>
      <c r="GDZ50" s="952"/>
      <c r="GEA50" s="952"/>
      <c r="GEB50" s="952"/>
      <c r="GEC50" s="952"/>
      <c r="GED50" s="952"/>
      <c r="GEE50" s="952"/>
      <c r="GEF50" s="952"/>
      <c r="GEG50" s="952"/>
      <c r="GEH50" s="952"/>
      <c r="GEI50" s="952"/>
      <c r="GEJ50" s="952"/>
      <c r="GEK50" s="952"/>
      <c r="GEL50" s="952"/>
      <c r="GEM50" s="952"/>
      <c r="GEN50" s="952"/>
      <c r="GEO50" s="952"/>
      <c r="GEP50" s="952"/>
      <c r="GEQ50" s="952"/>
      <c r="GER50" s="952"/>
      <c r="GES50" s="952"/>
      <c r="GET50" s="952"/>
      <c r="GEU50" s="952"/>
      <c r="GEV50" s="952"/>
      <c r="GEW50" s="952"/>
      <c r="GEX50" s="952"/>
      <c r="GEY50" s="952"/>
      <c r="GEZ50" s="952"/>
      <c r="GFA50" s="952"/>
      <c r="GFB50" s="952"/>
      <c r="GFC50" s="952"/>
      <c r="GFD50" s="952"/>
      <c r="GFE50" s="952"/>
      <c r="GFF50" s="952"/>
      <c r="GFG50" s="952"/>
      <c r="GFH50" s="952"/>
      <c r="GFI50" s="952"/>
      <c r="GFJ50" s="952"/>
      <c r="GFK50" s="952"/>
      <c r="GFL50" s="952"/>
      <c r="GFM50" s="952"/>
      <c r="GFN50" s="952"/>
      <c r="GFO50" s="952"/>
      <c r="GFP50" s="952"/>
      <c r="GFQ50" s="952"/>
      <c r="GFR50" s="952"/>
      <c r="GFS50" s="952"/>
      <c r="GFT50" s="952"/>
      <c r="GFU50" s="952"/>
      <c r="GFV50" s="952"/>
      <c r="GFW50" s="952"/>
      <c r="GFX50" s="952"/>
      <c r="GFY50" s="952"/>
      <c r="GFZ50" s="952"/>
      <c r="GGA50" s="952"/>
      <c r="GGB50" s="952"/>
      <c r="GGC50" s="952"/>
      <c r="GGD50" s="952"/>
      <c r="GGE50" s="952"/>
      <c r="GGF50" s="952"/>
      <c r="GGG50" s="952"/>
      <c r="GGH50" s="952"/>
      <c r="GGI50" s="952"/>
      <c r="GGJ50" s="952"/>
      <c r="GGK50" s="952"/>
      <c r="GGL50" s="952"/>
      <c r="GGM50" s="952"/>
      <c r="GGN50" s="952"/>
      <c r="GGO50" s="952"/>
      <c r="GGP50" s="952"/>
      <c r="GGQ50" s="952"/>
      <c r="GGR50" s="952"/>
      <c r="GGS50" s="952"/>
      <c r="GGT50" s="952"/>
      <c r="GGU50" s="952"/>
      <c r="GGV50" s="952"/>
      <c r="GGW50" s="952"/>
      <c r="GGX50" s="952"/>
      <c r="GGY50" s="952"/>
      <c r="GGZ50" s="952"/>
      <c r="GHA50" s="952"/>
      <c r="GHB50" s="952"/>
      <c r="GHC50" s="952"/>
      <c r="GHD50" s="952"/>
      <c r="GHE50" s="952"/>
      <c r="GHF50" s="952"/>
      <c r="GHG50" s="952"/>
      <c r="GHH50" s="952"/>
      <c r="GHI50" s="952"/>
      <c r="GHJ50" s="952"/>
      <c r="GHK50" s="952"/>
      <c r="GHL50" s="952"/>
      <c r="GHM50" s="952"/>
      <c r="GHN50" s="952"/>
      <c r="GHO50" s="952"/>
      <c r="GHP50" s="952"/>
      <c r="GHQ50" s="952"/>
      <c r="GHR50" s="952"/>
      <c r="GHS50" s="952"/>
      <c r="GHT50" s="952"/>
      <c r="GHU50" s="952"/>
      <c r="GHV50" s="952"/>
      <c r="GHW50" s="952"/>
      <c r="GHX50" s="952"/>
      <c r="GHY50" s="952"/>
      <c r="GHZ50" s="952"/>
      <c r="GIA50" s="952"/>
      <c r="GIB50" s="952"/>
      <c r="GIC50" s="952"/>
      <c r="GID50" s="952"/>
      <c r="GIE50" s="952"/>
      <c r="GIF50" s="952"/>
      <c r="GIG50" s="952"/>
      <c r="GIH50" s="952"/>
      <c r="GII50" s="952"/>
      <c r="GIJ50" s="952"/>
      <c r="GIK50" s="952"/>
      <c r="GIL50" s="952"/>
      <c r="GIM50" s="952"/>
      <c r="GIN50" s="952"/>
      <c r="GIO50" s="952"/>
      <c r="GIP50" s="952"/>
      <c r="GIQ50" s="952"/>
      <c r="GIR50" s="952"/>
      <c r="GIS50" s="952"/>
      <c r="GIT50" s="952"/>
      <c r="GIU50" s="952"/>
      <c r="GIV50" s="952"/>
      <c r="GIW50" s="952"/>
      <c r="GIX50" s="952"/>
      <c r="GIY50" s="952"/>
      <c r="GIZ50" s="952"/>
      <c r="GJA50" s="952"/>
      <c r="GJB50" s="952"/>
      <c r="GJC50" s="952"/>
      <c r="GJD50" s="952"/>
      <c r="GJE50" s="952"/>
      <c r="GJF50" s="952"/>
      <c r="GJG50" s="952"/>
      <c r="GJH50" s="952"/>
      <c r="GJI50" s="952"/>
      <c r="GJJ50" s="952"/>
      <c r="GJK50" s="952"/>
      <c r="GJL50" s="952"/>
      <c r="GJM50" s="952"/>
      <c r="GJN50" s="952"/>
      <c r="GJO50" s="952"/>
      <c r="GJP50" s="952"/>
      <c r="GJQ50" s="952"/>
      <c r="GJR50" s="952"/>
      <c r="GJS50" s="952"/>
      <c r="GJT50" s="952"/>
      <c r="GJU50" s="952"/>
      <c r="GJV50" s="952"/>
      <c r="GJW50" s="952"/>
      <c r="GJX50" s="952"/>
      <c r="GJY50" s="952"/>
      <c r="GJZ50" s="952"/>
      <c r="GKA50" s="952"/>
      <c r="GKB50" s="952"/>
      <c r="GKC50" s="952"/>
      <c r="GKD50" s="952"/>
      <c r="GKE50" s="952"/>
      <c r="GKF50" s="952"/>
      <c r="GKG50" s="952"/>
      <c r="GKH50" s="952"/>
      <c r="GKI50" s="952"/>
      <c r="GKJ50" s="952"/>
      <c r="GKK50" s="952"/>
      <c r="GKL50" s="952"/>
      <c r="GKM50" s="952"/>
      <c r="GKN50" s="952"/>
      <c r="GKO50" s="952"/>
      <c r="GKP50" s="952"/>
      <c r="GKQ50" s="952"/>
      <c r="GKR50" s="952"/>
      <c r="GKS50" s="952"/>
      <c r="GKT50" s="952"/>
      <c r="GKU50" s="952"/>
      <c r="GKV50" s="952"/>
      <c r="GKW50" s="952"/>
      <c r="GKX50" s="952"/>
      <c r="GKY50" s="952"/>
      <c r="GKZ50" s="952"/>
      <c r="GLA50" s="952"/>
      <c r="GLB50" s="952"/>
      <c r="GLC50" s="952"/>
      <c r="GLD50" s="952"/>
      <c r="GLE50" s="952"/>
      <c r="GLF50" s="952"/>
      <c r="GLG50" s="952"/>
      <c r="GLH50" s="952"/>
      <c r="GLI50" s="952"/>
      <c r="GLJ50" s="952"/>
      <c r="GLK50" s="952"/>
      <c r="GLL50" s="952"/>
      <c r="GLM50" s="952"/>
      <c r="GLN50" s="952"/>
      <c r="GLO50" s="952"/>
      <c r="GLP50" s="952"/>
      <c r="GLQ50" s="952"/>
      <c r="GLR50" s="952"/>
      <c r="GLS50" s="952"/>
      <c r="GLT50" s="952"/>
      <c r="GLU50" s="952"/>
      <c r="GLV50" s="952"/>
      <c r="GLW50" s="952"/>
      <c r="GLX50" s="952"/>
      <c r="GLY50" s="952"/>
      <c r="GLZ50" s="952"/>
      <c r="GMA50" s="952"/>
      <c r="GMB50" s="952"/>
      <c r="GMC50" s="952"/>
      <c r="GMD50" s="952"/>
      <c r="GME50" s="952"/>
      <c r="GMF50" s="952"/>
      <c r="GMG50" s="952"/>
      <c r="GMH50" s="952"/>
      <c r="GMI50" s="952"/>
      <c r="GMJ50" s="952"/>
      <c r="GMK50" s="952"/>
      <c r="GML50" s="952"/>
      <c r="GMM50" s="952"/>
      <c r="GMN50" s="952"/>
      <c r="GMO50" s="952"/>
      <c r="GMP50" s="952"/>
      <c r="GMQ50" s="952"/>
      <c r="GMR50" s="952"/>
      <c r="GMS50" s="952"/>
      <c r="GMT50" s="952"/>
      <c r="GMU50" s="952"/>
      <c r="GMV50" s="952"/>
      <c r="GMW50" s="952"/>
      <c r="GMX50" s="952"/>
      <c r="GMY50" s="952"/>
      <c r="GMZ50" s="952"/>
      <c r="GNA50" s="952"/>
      <c r="GNB50" s="952"/>
      <c r="GNC50" s="952"/>
      <c r="GND50" s="952"/>
      <c r="GNE50" s="952"/>
      <c r="GNF50" s="952"/>
      <c r="GNG50" s="952"/>
      <c r="GNH50" s="952"/>
      <c r="GNI50" s="952"/>
      <c r="GNJ50" s="952"/>
      <c r="GNK50" s="952"/>
      <c r="GNL50" s="952"/>
      <c r="GNM50" s="952"/>
      <c r="GNN50" s="952"/>
      <c r="GNO50" s="952"/>
      <c r="GNP50" s="952"/>
      <c r="GNQ50" s="952"/>
      <c r="GNR50" s="952"/>
      <c r="GNS50" s="952"/>
      <c r="GNT50" s="952"/>
      <c r="GNU50" s="952"/>
      <c r="GNV50" s="952"/>
      <c r="GNW50" s="952"/>
      <c r="GNX50" s="952"/>
      <c r="GNY50" s="952"/>
      <c r="GNZ50" s="952"/>
      <c r="GOA50" s="952"/>
      <c r="GOB50" s="952"/>
      <c r="GOC50" s="952"/>
      <c r="GOD50" s="952"/>
      <c r="GOE50" s="952"/>
      <c r="GOF50" s="952"/>
      <c r="GOG50" s="952"/>
      <c r="GOH50" s="952"/>
      <c r="GOI50" s="952"/>
      <c r="GOJ50" s="952"/>
      <c r="GOK50" s="952"/>
      <c r="GOL50" s="952"/>
      <c r="GOM50" s="952"/>
      <c r="GON50" s="952"/>
      <c r="GOO50" s="952"/>
      <c r="GOP50" s="952"/>
      <c r="GOQ50" s="952"/>
      <c r="GOR50" s="952"/>
      <c r="GOS50" s="952"/>
      <c r="GOT50" s="952"/>
      <c r="GOU50" s="952"/>
      <c r="GOV50" s="952"/>
      <c r="GOW50" s="952"/>
      <c r="GOX50" s="952"/>
      <c r="GOY50" s="952"/>
      <c r="GOZ50" s="952"/>
      <c r="GPA50" s="952"/>
      <c r="GPB50" s="952"/>
      <c r="GPC50" s="952"/>
      <c r="GPD50" s="952"/>
      <c r="GPE50" s="952"/>
      <c r="GPF50" s="952"/>
      <c r="GPG50" s="952"/>
      <c r="GPH50" s="952"/>
      <c r="GPI50" s="952"/>
      <c r="GPJ50" s="952"/>
      <c r="GPK50" s="952"/>
      <c r="GPL50" s="952"/>
      <c r="GPM50" s="952"/>
      <c r="GPN50" s="952"/>
      <c r="GPO50" s="952"/>
      <c r="GPP50" s="952"/>
      <c r="GPQ50" s="952"/>
      <c r="GPR50" s="952"/>
      <c r="GPS50" s="952"/>
      <c r="GPT50" s="952"/>
      <c r="GPU50" s="952"/>
      <c r="GPV50" s="952"/>
      <c r="GPW50" s="952"/>
      <c r="GPX50" s="952"/>
      <c r="GPY50" s="952"/>
      <c r="GPZ50" s="952"/>
      <c r="GQA50" s="952"/>
      <c r="GQB50" s="952"/>
      <c r="GQC50" s="952"/>
      <c r="GQD50" s="952"/>
      <c r="GQE50" s="952"/>
      <c r="GQF50" s="952"/>
      <c r="GQG50" s="952"/>
      <c r="GQH50" s="952"/>
      <c r="GQI50" s="952"/>
      <c r="GQJ50" s="952"/>
      <c r="GQK50" s="952"/>
      <c r="GQL50" s="952"/>
      <c r="GQM50" s="952"/>
      <c r="GQN50" s="952"/>
      <c r="GQO50" s="952"/>
      <c r="GQP50" s="952"/>
      <c r="GQQ50" s="952"/>
      <c r="GQR50" s="952"/>
      <c r="GQS50" s="952"/>
      <c r="GQT50" s="952"/>
      <c r="GQU50" s="952"/>
      <c r="GQV50" s="952"/>
      <c r="GQW50" s="952"/>
      <c r="GQX50" s="952"/>
      <c r="GQY50" s="952"/>
      <c r="GQZ50" s="952"/>
      <c r="GRA50" s="952"/>
      <c r="GRB50" s="952"/>
      <c r="GRC50" s="952"/>
      <c r="GRD50" s="952"/>
      <c r="GRE50" s="952"/>
      <c r="GRF50" s="952"/>
      <c r="GRG50" s="952"/>
      <c r="GRH50" s="952"/>
      <c r="GRI50" s="952"/>
      <c r="GRJ50" s="952"/>
      <c r="GRK50" s="952"/>
      <c r="GRL50" s="952"/>
      <c r="GRM50" s="952"/>
      <c r="GRN50" s="952"/>
      <c r="GRO50" s="952"/>
      <c r="GRP50" s="952"/>
      <c r="GRQ50" s="952"/>
      <c r="GRR50" s="952"/>
      <c r="GRS50" s="952"/>
      <c r="GRT50" s="952"/>
      <c r="GRU50" s="952"/>
      <c r="GRV50" s="952"/>
      <c r="GRW50" s="952"/>
      <c r="GRX50" s="952"/>
      <c r="GRY50" s="952"/>
      <c r="GRZ50" s="952"/>
      <c r="GSA50" s="952"/>
      <c r="GSB50" s="952"/>
      <c r="GSC50" s="952"/>
      <c r="GSD50" s="952"/>
      <c r="GSE50" s="952"/>
      <c r="GSF50" s="952"/>
      <c r="GSG50" s="952"/>
      <c r="GSH50" s="952"/>
      <c r="GSI50" s="952"/>
      <c r="GSJ50" s="952"/>
      <c r="GSK50" s="952"/>
      <c r="GSL50" s="952"/>
      <c r="GSM50" s="952"/>
      <c r="GSN50" s="952"/>
      <c r="GSO50" s="952"/>
      <c r="GSP50" s="952"/>
      <c r="GSQ50" s="952"/>
      <c r="GSR50" s="952"/>
      <c r="GSS50" s="952"/>
      <c r="GST50" s="952"/>
      <c r="GSU50" s="952"/>
      <c r="GSV50" s="952"/>
      <c r="GSW50" s="952"/>
      <c r="GSX50" s="952"/>
      <c r="GSY50" s="952"/>
      <c r="GSZ50" s="952"/>
      <c r="GTA50" s="952"/>
      <c r="GTB50" s="952"/>
      <c r="GTC50" s="952"/>
      <c r="GTD50" s="952"/>
      <c r="GTE50" s="952"/>
      <c r="GTF50" s="952"/>
      <c r="GTG50" s="952"/>
      <c r="GTH50" s="952"/>
      <c r="GTI50" s="952"/>
      <c r="GTJ50" s="952"/>
      <c r="GTK50" s="952"/>
      <c r="GTL50" s="952"/>
      <c r="GTM50" s="952"/>
      <c r="GTN50" s="952"/>
      <c r="GTO50" s="952"/>
      <c r="GTP50" s="952"/>
      <c r="GTQ50" s="952"/>
      <c r="GTR50" s="952"/>
      <c r="GTS50" s="952"/>
      <c r="GTT50" s="952"/>
      <c r="GTU50" s="952"/>
      <c r="GTV50" s="952"/>
      <c r="GTW50" s="952"/>
      <c r="GTX50" s="952"/>
      <c r="GTY50" s="952"/>
      <c r="GTZ50" s="952"/>
      <c r="GUA50" s="952"/>
      <c r="GUB50" s="952"/>
      <c r="GUC50" s="952"/>
      <c r="GUD50" s="952"/>
      <c r="GUE50" s="952"/>
      <c r="GUF50" s="952"/>
      <c r="GUG50" s="952"/>
      <c r="GUH50" s="952"/>
      <c r="GUI50" s="952"/>
      <c r="GUJ50" s="952"/>
      <c r="GUK50" s="952"/>
      <c r="GUL50" s="952"/>
      <c r="GUM50" s="952"/>
      <c r="GUN50" s="952"/>
      <c r="GUO50" s="952"/>
      <c r="GUP50" s="952"/>
      <c r="GUQ50" s="952"/>
      <c r="GUR50" s="952"/>
      <c r="GUS50" s="952"/>
      <c r="GUT50" s="952"/>
      <c r="GUU50" s="952"/>
      <c r="GUV50" s="952"/>
      <c r="GUW50" s="952"/>
      <c r="GUX50" s="952"/>
      <c r="GUY50" s="952"/>
      <c r="GUZ50" s="952"/>
      <c r="GVA50" s="952"/>
      <c r="GVB50" s="952"/>
      <c r="GVC50" s="952"/>
      <c r="GVD50" s="952"/>
      <c r="GVE50" s="952"/>
      <c r="GVF50" s="952"/>
      <c r="GVG50" s="952"/>
      <c r="GVH50" s="952"/>
      <c r="GVI50" s="952"/>
      <c r="GVJ50" s="952"/>
      <c r="GVK50" s="952"/>
      <c r="GVL50" s="952"/>
      <c r="GVM50" s="952"/>
      <c r="GVN50" s="952"/>
      <c r="GVO50" s="952"/>
      <c r="GVP50" s="952"/>
      <c r="GVQ50" s="952"/>
      <c r="GVR50" s="952"/>
      <c r="GVS50" s="952"/>
      <c r="GVT50" s="952"/>
      <c r="GVU50" s="952"/>
      <c r="GVV50" s="952"/>
      <c r="GVW50" s="952"/>
      <c r="GVX50" s="952"/>
      <c r="GVY50" s="952"/>
      <c r="GVZ50" s="952"/>
      <c r="GWA50" s="952"/>
      <c r="GWB50" s="952"/>
      <c r="GWC50" s="952"/>
      <c r="GWD50" s="952"/>
      <c r="GWE50" s="952"/>
      <c r="GWF50" s="952"/>
      <c r="GWG50" s="952"/>
      <c r="GWH50" s="952"/>
      <c r="GWI50" s="952"/>
      <c r="GWJ50" s="952"/>
      <c r="GWK50" s="952"/>
      <c r="GWL50" s="952"/>
      <c r="GWM50" s="952"/>
      <c r="GWN50" s="952"/>
      <c r="GWO50" s="952"/>
      <c r="GWP50" s="952"/>
      <c r="GWQ50" s="952"/>
      <c r="GWR50" s="952"/>
      <c r="GWS50" s="952"/>
      <c r="GWT50" s="952"/>
      <c r="GWU50" s="952"/>
      <c r="GWV50" s="952"/>
      <c r="GWW50" s="952"/>
      <c r="GWX50" s="952"/>
      <c r="GWY50" s="952"/>
      <c r="GWZ50" s="952"/>
      <c r="GXA50" s="952"/>
      <c r="GXB50" s="952"/>
      <c r="GXC50" s="952"/>
      <c r="GXD50" s="952"/>
      <c r="GXE50" s="952"/>
      <c r="GXF50" s="952"/>
      <c r="GXG50" s="952"/>
      <c r="GXH50" s="952"/>
      <c r="GXI50" s="952"/>
      <c r="GXJ50" s="952"/>
      <c r="GXK50" s="952"/>
      <c r="GXL50" s="952"/>
      <c r="GXM50" s="952"/>
      <c r="GXN50" s="952"/>
      <c r="GXO50" s="952"/>
      <c r="GXP50" s="952"/>
      <c r="GXQ50" s="952"/>
      <c r="GXR50" s="952"/>
      <c r="GXS50" s="952"/>
      <c r="GXT50" s="952"/>
      <c r="GXU50" s="952"/>
      <c r="GXV50" s="952"/>
      <c r="GXW50" s="952"/>
      <c r="GXX50" s="952"/>
      <c r="GXY50" s="952"/>
      <c r="GXZ50" s="952"/>
      <c r="GYA50" s="952"/>
      <c r="GYB50" s="952"/>
      <c r="GYC50" s="952"/>
      <c r="GYD50" s="952"/>
      <c r="GYE50" s="952"/>
      <c r="GYF50" s="952"/>
      <c r="GYG50" s="952"/>
      <c r="GYH50" s="952"/>
      <c r="GYI50" s="952"/>
      <c r="GYJ50" s="952"/>
      <c r="GYK50" s="952"/>
      <c r="GYL50" s="952"/>
      <c r="GYM50" s="952"/>
      <c r="GYN50" s="952"/>
      <c r="GYO50" s="952"/>
      <c r="GYP50" s="952"/>
      <c r="GYQ50" s="952"/>
      <c r="GYR50" s="952"/>
      <c r="GYS50" s="952"/>
      <c r="GYT50" s="952"/>
      <c r="GYU50" s="952"/>
      <c r="GYV50" s="952"/>
      <c r="GYW50" s="952"/>
      <c r="GYX50" s="952"/>
      <c r="GYY50" s="952"/>
      <c r="GYZ50" s="952"/>
      <c r="GZA50" s="952"/>
      <c r="GZB50" s="952"/>
      <c r="GZC50" s="952"/>
      <c r="GZD50" s="952"/>
      <c r="GZE50" s="952"/>
      <c r="GZF50" s="952"/>
      <c r="GZG50" s="952"/>
      <c r="GZH50" s="952"/>
      <c r="GZI50" s="952"/>
      <c r="GZJ50" s="952"/>
      <c r="GZK50" s="952"/>
      <c r="GZL50" s="952"/>
      <c r="GZM50" s="952"/>
      <c r="GZN50" s="952"/>
      <c r="GZO50" s="952"/>
      <c r="GZP50" s="952"/>
      <c r="GZQ50" s="952"/>
      <c r="GZR50" s="952"/>
      <c r="GZS50" s="952"/>
      <c r="GZT50" s="952"/>
      <c r="GZU50" s="952"/>
      <c r="GZV50" s="952"/>
      <c r="GZW50" s="952"/>
      <c r="GZX50" s="952"/>
      <c r="GZY50" s="952"/>
      <c r="GZZ50" s="952"/>
      <c r="HAA50" s="952"/>
      <c r="HAB50" s="952"/>
      <c r="HAC50" s="952"/>
      <c r="HAD50" s="952"/>
      <c r="HAE50" s="952"/>
      <c r="HAF50" s="952"/>
      <c r="HAG50" s="952"/>
      <c r="HAH50" s="952"/>
      <c r="HAI50" s="952"/>
      <c r="HAJ50" s="952"/>
      <c r="HAK50" s="952"/>
      <c r="HAL50" s="952"/>
      <c r="HAM50" s="952"/>
      <c r="HAN50" s="952"/>
      <c r="HAO50" s="952"/>
      <c r="HAP50" s="952"/>
      <c r="HAQ50" s="952"/>
      <c r="HAR50" s="952"/>
      <c r="HAS50" s="952"/>
      <c r="HAT50" s="952"/>
      <c r="HAU50" s="952"/>
      <c r="HAV50" s="952"/>
      <c r="HAW50" s="952"/>
      <c r="HAX50" s="952"/>
      <c r="HAY50" s="952"/>
      <c r="HAZ50" s="952"/>
      <c r="HBA50" s="952"/>
      <c r="HBB50" s="952"/>
      <c r="HBC50" s="952"/>
      <c r="HBD50" s="952"/>
      <c r="HBE50" s="952"/>
      <c r="HBF50" s="952"/>
      <c r="HBG50" s="952"/>
      <c r="HBH50" s="952"/>
      <c r="HBI50" s="952"/>
      <c r="HBJ50" s="952"/>
      <c r="HBK50" s="952"/>
      <c r="HBL50" s="952"/>
      <c r="HBM50" s="952"/>
      <c r="HBN50" s="952"/>
      <c r="HBO50" s="952"/>
      <c r="HBP50" s="952"/>
      <c r="HBQ50" s="952"/>
      <c r="HBR50" s="952"/>
      <c r="HBS50" s="952"/>
      <c r="HBT50" s="952"/>
      <c r="HBU50" s="952"/>
      <c r="HBV50" s="952"/>
      <c r="HBW50" s="952"/>
      <c r="HBX50" s="952"/>
      <c r="HBY50" s="952"/>
      <c r="HBZ50" s="952"/>
      <c r="HCA50" s="952"/>
      <c r="HCB50" s="952"/>
      <c r="HCC50" s="952"/>
      <c r="HCD50" s="952"/>
      <c r="HCE50" s="952"/>
      <c r="HCF50" s="952"/>
      <c r="HCG50" s="952"/>
      <c r="HCH50" s="952"/>
      <c r="HCI50" s="952"/>
      <c r="HCJ50" s="952"/>
      <c r="HCK50" s="952"/>
      <c r="HCL50" s="952"/>
      <c r="HCM50" s="952"/>
      <c r="HCN50" s="952"/>
      <c r="HCO50" s="952"/>
      <c r="HCP50" s="952"/>
      <c r="HCQ50" s="952"/>
      <c r="HCR50" s="952"/>
      <c r="HCS50" s="952"/>
      <c r="HCT50" s="952"/>
      <c r="HCU50" s="952"/>
      <c r="HCV50" s="952"/>
      <c r="HCW50" s="952"/>
      <c r="HCX50" s="952"/>
      <c r="HCY50" s="952"/>
      <c r="HCZ50" s="952"/>
      <c r="HDA50" s="952"/>
      <c r="HDB50" s="952"/>
      <c r="HDC50" s="952"/>
      <c r="HDD50" s="952"/>
      <c r="HDE50" s="952"/>
      <c r="HDF50" s="952"/>
      <c r="HDG50" s="952"/>
      <c r="HDH50" s="952"/>
      <c r="HDI50" s="952"/>
      <c r="HDJ50" s="952"/>
      <c r="HDK50" s="952"/>
      <c r="HDL50" s="952"/>
      <c r="HDM50" s="952"/>
      <c r="HDN50" s="952"/>
      <c r="HDO50" s="952"/>
      <c r="HDP50" s="952"/>
      <c r="HDQ50" s="952"/>
      <c r="HDR50" s="952"/>
      <c r="HDS50" s="952"/>
      <c r="HDT50" s="952"/>
      <c r="HDU50" s="952"/>
      <c r="HDV50" s="952"/>
      <c r="HDW50" s="952"/>
      <c r="HDX50" s="952"/>
      <c r="HDY50" s="952"/>
      <c r="HDZ50" s="952"/>
      <c r="HEA50" s="952"/>
      <c r="HEB50" s="952"/>
      <c r="HEC50" s="952"/>
      <c r="HED50" s="952"/>
      <c r="HEE50" s="952"/>
      <c r="HEF50" s="952"/>
      <c r="HEG50" s="952"/>
      <c r="HEH50" s="952"/>
      <c r="HEI50" s="952"/>
      <c r="HEJ50" s="952"/>
      <c r="HEK50" s="952"/>
      <c r="HEL50" s="952"/>
      <c r="HEM50" s="952"/>
      <c r="HEN50" s="952"/>
      <c r="HEO50" s="952"/>
      <c r="HEP50" s="952"/>
      <c r="HEQ50" s="952"/>
      <c r="HER50" s="952"/>
      <c r="HES50" s="952"/>
      <c r="HET50" s="952"/>
      <c r="HEU50" s="952"/>
      <c r="HEV50" s="952"/>
      <c r="HEW50" s="952"/>
      <c r="HEX50" s="952"/>
      <c r="HEY50" s="952"/>
      <c r="HEZ50" s="952"/>
      <c r="HFA50" s="952"/>
      <c r="HFB50" s="952"/>
      <c r="HFC50" s="952"/>
      <c r="HFD50" s="952"/>
      <c r="HFE50" s="952"/>
      <c r="HFF50" s="952"/>
      <c r="HFG50" s="952"/>
      <c r="HFH50" s="952"/>
      <c r="HFI50" s="952"/>
      <c r="HFJ50" s="952"/>
      <c r="HFK50" s="952"/>
      <c r="HFL50" s="952"/>
      <c r="HFM50" s="952"/>
      <c r="HFN50" s="952"/>
      <c r="HFO50" s="952"/>
      <c r="HFP50" s="952"/>
      <c r="HFQ50" s="952"/>
      <c r="HFR50" s="952"/>
      <c r="HFS50" s="952"/>
      <c r="HFT50" s="952"/>
      <c r="HFU50" s="952"/>
      <c r="HFV50" s="952"/>
      <c r="HFW50" s="952"/>
      <c r="HFX50" s="952"/>
      <c r="HFY50" s="952"/>
      <c r="HFZ50" s="952"/>
      <c r="HGA50" s="952"/>
      <c r="HGB50" s="952"/>
      <c r="HGC50" s="952"/>
      <c r="HGD50" s="952"/>
      <c r="HGE50" s="952"/>
      <c r="HGF50" s="952"/>
      <c r="HGG50" s="952"/>
      <c r="HGH50" s="952"/>
      <c r="HGI50" s="952"/>
      <c r="HGJ50" s="952"/>
      <c r="HGK50" s="952"/>
      <c r="HGL50" s="952"/>
      <c r="HGM50" s="952"/>
      <c r="HGN50" s="952"/>
      <c r="HGO50" s="952"/>
      <c r="HGP50" s="952"/>
      <c r="HGQ50" s="952"/>
      <c r="HGR50" s="952"/>
      <c r="HGS50" s="952"/>
      <c r="HGT50" s="952"/>
      <c r="HGU50" s="952"/>
      <c r="HGV50" s="952"/>
      <c r="HGW50" s="952"/>
      <c r="HGX50" s="952"/>
      <c r="HGY50" s="952"/>
      <c r="HGZ50" s="952"/>
      <c r="HHA50" s="952"/>
      <c r="HHB50" s="952"/>
      <c r="HHC50" s="952"/>
      <c r="HHD50" s="952"/>
      <c r="HHE50" s="952"/>
      <c r="HHF50" s="952"/>
      <c r="HHG50" s="952"/>
      <c r="HHH50" s="952"/>
      <c r="HHI50" s="952"/>
      <c r="HHJ50" s="952"/>
      <c r="HHK50" s="952"/>
      <c r="HHL50" s="952"/>
      <c r="HHM50" s="952"/>
      <c r="HHN50" s="952"/>
      <c r="HHO50" s="952"/>
      <c r="HHP50" s="952"/>
      <c r="HHQ50" s="952"/>
      <c r="HHR50" s="952"/>
      <c r="HHS50" s="952"/>
      <c r="HHT50" s="952"/>
      <c r="HHU50" s="952"/>
      <c r="HHV50" s="952"/>
      <c r="HHW50" s="952"/>
      <c r="HHX50" s="952"/>
      <c r="HHY50" s="952"/>
      <c r="HHZ50" s="952"/>
      <c r="HIA50" s="952"/>
      <c r="HIB50" s="952"/>
      <c r="HIC50" s="952"/>
      <c r="HID50" s="952"/>
      <c r="HIE50" s="952"/>
      <c r="HIF50" s="952"/>
      <c r="HIG50" s="952"/>
      <c r="HIH50" s="952"/>
      <c r="HII50" s="952"/>
      <c r="HIJ50" s="952"/>
      <c r="HIK50" s="952"/>
      <c r="HIL50" s="952"/>
      <c r="HIM50" s="952"/>
      <c r="HIN50" s="952"/>
      <c r="HIO50" s="952"/>
      <c r="HIP50" s="952"/>
      <c r="HIQ50" s="952"/>
      <c r="HIR50" s="952"/>
      <c r="HIS50" s="952"/>
      <c r="HIT50" s="952"/>
      <c r="HIU50" s="952"/>
      <c r="HIV50" s="952"/>
      <c r="HIW50" s="952"/>
      <c r="HIX50" s="952"/>
      <c r="HIY50" s="952"/>
      <c r="HIZ50" s="952"/>
      <c r="HJA50" s="952"/>
      <c r="HJB50" s="952"/>
      <c r="HJC50" s="952"/>
      <c r="HJD50" s="952"/>
      <c r="HJE50" s="952"/>
      <c r="HJF50" s="952"/>
      <c r="HJG50" s="952"/>
      <c r="HJH50" s="952"/>
      <c r="HJI50" s="952"/>
      <c r="HJJ50" s="952"/>
      <c r="HJK50" s="952"/>
      <c r="HJL50" s="952"/>
      <c r="HJM50" s="952"/>
      <c r="HJN50" s="952"/>
      <c r="HJO50" s="952"/>
      <c r="HJP50" s="952"/>
      <c r="HJQ50" s="952"/>
      <c r="HJR50" s="952"/>
      <c r="HJS50" s="952"/>
      <c r="HJT50" s="952"/>
      <c r="HJU50" s="952"/>
      <c r="HJV50" s="952"/>
      <c r="HJW50" s="952"/>
      <c r="HJX50" s="952"/>
      <c r="HJY50" s="952"/>
      <c r="HJZ50" s="952"/>
      <c r="HKA50" s="952"/>
      <c r="HKB50" s="952"/>
      <c r="HKC50" s="952"/>
      <c r="HKD50" s="952"/>
      <c r="HKE50" s="952"/>
      <c r="HKF50" s="952"/>
      <c r="HKG50" s="952"/>
      <c r="HKH50" s="952"/>
      <c r="HKI50" s="952"/>
      <c r="HKJ50" s="952"/>
      <c r="HKK50" s="952"/>
      <c r="HKL50" s="952"/>
      <c r="HKM50" s="952"/>
      <c r="HKN50" s="952"/>
      <c r="HKO50" s="952"/>
      <c r="HKP50" s="952"/>
      <c r="HKQ50" s="952"/>
      <c r="HKR50" s="952"/>
      <c r="HKS50" s="952"/>
      <c r="HKT50" s="952"/>
      <c r="HKU50" s="952"/>
      <c r="HKV50" s="952"/>
      <c r="HKW50" s="952"/>
      <c r="HKX50" s="952"/>
      <c r="HKY50" s="952"/>
      <c r="HKZ50" s="952"/>
      <c r="HLA50" s="952"/>
      <c r="HLB50" s="952"/>
      <c r="HLC50" s="952"/>
      <c r="HLD50" s="952"/>
      <c r="HLE50" s="952"/>
      <c r="HLF50" s="952"/>
      <c r="HLG50" s="952"/>
      <c r="HLH50" s="952"/>
      <c r="HLI50" s="952"/>
      <c r="HLJ50" s="952"/>
      <c r="HLK50" s="952"/>
      <c r="HLL50" s="952"/>
      <c r="HLM50" s="952"/>
      <c r="HLN50" s="952"/>
      <c r="HLO50" s="952"/>
      <c r="HLP50" s="952"/>
      <c r="HLQ50" s="952"/>
      <c r="HLR50" s="952"/>
      <c r="HLS50" s="952"/>
      <c r="HLT50" s="952"/>
      <c r="HLU50" s="952"/>
      <c r="HLV50" s="952"/>
      <c r="HLW50" s="952"/>
      <c r="HLX50" s="952"/>
      <c r="HLY50" s="952"/>
      <c r="HLZ50" s="952"/>
      <c r="HMA50" s="952"/>
      <c r="HMB50" s="952"/>
      <c r="HMC50" s="952"/>
      <c r="HMD50" s="952"/>
      <c r="HME50" s="952"/>
      <c r="HMF50" s="952"/>
      <c r="HMG50" s="952"/>
      <c r="HMH50" s="952"/>
      <c r="HMI50" s="952"/>
      <c r="HMJ50" s="952"/>
      <c r="HMK50" s="952"/>
      <c r="HML50" s="952"/>
      <c r="HMM50" s="952"/>
      <c r="HMN50" s="952"/>
      <c r="HMO50" s="952"/>
      <c r="HMP50" s="952"/>
      <c r="HMQ50" s="952"/>
      <c r="HMR50" s="952"/>
      <c r="HMS50" s="952"/>
      <c r="HMT50" s="952"/>
      <c r="HMU50" s="952"/>
      <c r="HMV50" s="952"/>
      <c r="HMW50" s="952"/>
      <c r="HMX50" s="952"/>
      <c r="HMY50" s="952"/>
      <c r="HMZ50" s="952"/>
      <c r="HNA50" s="952"/>
      <c r="HNB50" s="952"/>
      <c r="HNC50" s="952"/>
      <c r="HND50" s="952"/>
      <c r="HNE50" s="952"/>
      <c r="HNF50" s="952"/>
      <c r="HNG50" s="952"/>
      <c r="HNH50" s="952"/>
      <c r="HNI50" s="952"/>
      <c r="HNJ50" s="952"/>
      <c r="HNK50" s="952"/>
      <c r="HNL50" s="952"/>
      <c r="HNM50" s="952"/>
      <c r="HNN50" s="952"/>
      <c r="HNO50" s="952"/>
      <c r="HNP50" s="952"/>
      <c r="HNQ50" s="952"/>
      <c r="HNR50" s="952"/>
      <c r="HNS50" s="952"/>
      <c r="HNT50" s="952"/>
      <c r="HNU50" s="952"/>
      <c r="HNV50" s="952"/>
      <c r="HNW50" s="952"/>
      <c r="HNX50" s="952"/>
      <c r="HNY50" s="952"/>
      <c r="HNZ50" s="952"/>
      <c r="HOA50" s="952"/>
      <c r="HOB50" s="952"/>
      <c r="HOC50" s="952"/>
      <c r="HOD50" s="952"/>
      <c r="HOE50" s="952"/>
      <c r="HOF50" s="952"/>
      <c r="HOG50" s="952"/>
      <c r="HOH50" s="952"/>
      <c r="HOI50" s="952"/>
      <c r="HOJ50" s="952"/>
      <c r="HOK50" s="952"/>
      <c r="HOL50" s="952"/>
      <c r="HOM50" s="952"/>
      <c r="HON50" s="952"/>
      <c r="HOO50" s="952"/>
      <c r="HOP50" s="952"/>
      <c r="HOQ50" s="952"/>
      <c r="HOR50" s="952"/>
      <c r="HOS50" s="952"/>
      <c r="HOT50" s="952"/>
      <c r="HOU50" s="952"/>
      <c r="HOV50" s="952"/>
      <c r="HOW50" s="952"/>
      <c r="HOX50" s="952"/>
      <c r="HOY50" s="952"/>
      <c r="HOZ50" s="952"/>
      <c r="HPA50" s="952"/>
      <c r="HPB50" s="952"/>
      <c r="HPC50" s="952"/>
      <c r="HPD50" s="952"/>
      <c r="HPE50" s="952"/>
      <c r="HPF50" s="952"/>
      <c r="HPG50" s="952"/>
      <c r="HPH50" s="952"/>
      <c r="HPI50" s="952"/>
      <c r="HPJ50" s="952"/>
      <c r="HPK50" s="952"/>
      <c r="HPL50" s="952"/>
      <c r="HPM50" s="952"/>
      <c r="HPN50" s="952"/>
      <c r="HPO50" s="952"/>
      <c r="HPP50" s="952"/>
      <c r="HPQ50" s="952"/>
      <c r="HPR50" s="952"/>
      <c r="HPS50" s="952"/>
      <c r="HPT50" s="952"/>
      <c r="HPU50" s="952"/>
      <c r="HPV50" s="952"/>
      <c r="HPW50" s="952"/>
      <c r="HPX50" s="952"/>
      <c r="HPY50" s="952"/>
      <c r="HPZ50" s="952"/>
      <c r="HQA50" s="952"/>
      <c r="HQB50" s="952"/>
      <c r="HQC50" s="952"/>
      <c r="HQD50" s="952"/>
      <c r="HQE50" s="952"/>
      <c r="HQF50" s="952"/>
      <c r="HQG50" s="952"/>
      <c r="HQH50" s="952"/>
      <c r="HQI50" s="952"/>
      <c r="HQJ50" s="952"/>
      <c r="HQK50" s="952"/>
      <c r="HQL50" s="952"/>
      <c r="HQM50" s="952"/>
      <c r="HQN50" s="952"/>
      <c r="HQO50" s="952"/>
      <c r="HQP50" s="952"/>
      <c r="HQQ50" s="952"/>
      <c r="HQR50" s="952"/>
      <c r="HQS50" s="952"/>
      <c r="HQT50" s="952"/>
      <c r="HQU50" s="952"/>
      <c r="HQV50" s="952"/>
      <c r="HQW50" s="952"/>
      <c r="HQX50" s="952"/>
      <c r="HQY50" s="952"/>
      <c r="HQZ50" s="952"/>
      <c r="HRA50" s="952"/>
      <c r="HRB50" s="952"/>
      <c r="HRC50" s="952"/>
      <c r="HRD50" s="952"/>
      <c r="HRE50" s="952"/>
      <c r="HRF50" s="952"/>
      <c r="HRG50" s="952"/>
      <c r="HRH50" s="952"/>
      <c r="HRI50" s="952"/>
      <c r="HRJ50" s="952"/>
      <c r="HRK50" s="952"/>
      <c r="HRL50" s="952"/>
      <c r="HRM50" s="952"/>
      <c r="HRN50" s="952"/>
      <c r="HRO50" s="952"/>
      <c r="HRP50" s="952"/>
      <c r="HRQ50" s="952"/>
      <c r="HRR50" s="952"/>
      <c r="HRS50" s="952"/>
      <c r="HRT50" s="952"/>
      <c r="HRU50" s="952"/>
      <c r="HRV50" s="952"/>
      <c r="HRW50" s="952"/>
      <c r="HRX50" s="952"/>
      <c r="HRY50" s="952"/>
      <c r="HRZ50" s="952"/>
      <c r="HSA50" s="952"/>
      <c r="HSB50" s="952"/>
      <c r="HSC50" s="952"/>
      <c r="HSD50" s="952"/>
      <c r="HSE50" s="952"/>
      <c r="HSF50" s="952"/>
      <c r="HSG50" s="952"/>
      <c r="HSH50" s="952"/>
      <c r="HSI50" s="952"/>
      <c r="HSJ50" s="952"/>
      <c r="HSK50" s="952"/>
      <c r="HSL50" s="952"/>
      <c r="HSM50" s="952"/>
      <c r="HSN50" s="952"/>
      <c r="HSO50" s="952"/>
      <c r="HSP50" s="952"/>
      <c r="HSQ50" s="952"/>
      <c r="HSR50" s="952"/>
      <c r="HSS50" s="952"/>
      <c r="HST50" s="952"/>
      <c r="HSU50" s="952"/>
      <c r="HSV50" s="952"/>
      <c r="HSW50" s="952"/>
      <c r="HSX50" s="952"/>
      <c r="HSY50" s="952"/>
      <c r="HSZ50" s="952"/>
      <c r="HTA50" s="952"/>
      <c r="HTB50" s="952"/>
      <c r="HTC50" s="952"/>
      <c r="HTD50" s="952"/>
      <c r="HTE50" s="952"/>
      <c r="HTF50" s="952"/>
      <c r="HTG50" s="952"/>
      <c r="HTH50" s="952"/>
      <c r="HTI50" s="952"/>
      <c r="HTJ50" s="952"/>
      <c r="HTK50" s="952"/>
      <c r="HTL50" s="952"/>
      <c r="HTM50" s="952"/>
      <c r="HTN50" s="952"/>
      <c r="HTO50" s="952"/>
      <c r="HTP50" s="952"/>
      <c r="HTQ50" s="952"/>
      <c r="HTR50" s="952"/>
      <c r="HTS50" s="952"/>
      <c r="HTT50" s="952"/>
      <c r="HTU50" s="952"/>
      <c r="HTV50" s="952"/>
      <c r="HTW50" s="952"/>
      <c r="HTX50" s="952"/>
      <c r="HTY50" s="952"/>
      <c r="HTZ50" s="952"/>
      <c r="HUA50" s="952"/>
      <c r="HUB50" s="952"/>
      <c r="HUC50" s="952"/>
      <c r="HUD50" s="952"/>
      <c r="HUE50" s="952"/>
      <c r="HUF50" s="952"/>
      <c r="HUG50" s="952"/>
      <c r="HUH50" s="952"/>
      <c r="HUI50" s="952"/>
      <c r="HUJ50" s="952"/>
      <c r="HUK50" s="952"/>
      <c r="HUL50" s="952"/>
      <c r="HUM50" s="952"/>
      <c r="HUN50" s="952"/>
      <c r="HUO50" s="952"/>
      <c r="HUP50" s="952"/>
      <c r="HUQ50" s="952"/>
      <c r="HUR50" s="952"/>
      <c r="HUS50" s="952"/>
      <c r="HUT50" s="952"/>
      <c r="HUU50" s="952"/>
      <c r="HUV50" s="952"/>
      <c r="HUW50" s="952"/>
      <c r="HUX50" s="952"/>
      <c r="HUY50" s="952"/>
      <c r="HUZ50" s="952"/>
      <c r="HVA50" s="952"/>
      <c r="HVB50" s="952"/>
      <c r="HVC50" s="952"/>
      <c r="HVD50" s="952"/>
      <c r="HVE50" s="952"/>
      <c r="HVF50" s="952"/>
      <c r="HVG50" s="952"/>
      <c r="HVH50" s="952"/>
      <c r="HVI50" s="952"/>
      <c r="HVJ50" s="952"/>
      <c r="HVK50" s="952"/>
      <c r="HVL50" s="952"/>
      <c r="HVM50" s="952"/>
      <c r="HVN50" s="952"/>
      <c r="HVO50" s="952"/>
      <c r="HVP50" s="952"/>
      <c r="HVQ50" s="952"/>
      <c r="HVR50" s="952"/>
      <c r="HVS50" s="952"/>
      <c r="HVT50" s="952"/>
      <c r="HVU50" s="952"/>
      <c r="HVV50" s="952"/>
      <c r="HVW50" s="952"/>
      <c r="HVX50" s="952"/>
      <c r="HVY50" s="952"/>
      <c r="HVZ50" s="952"/>
      <c r="HWA50" s="952"/>
      <c r="HWB50" s="952"/>
      <c r="HWC50" s="952"/>
      <c r="HWD50" s="952"/>
      <c r="HWE50" s="952"/>
      <c r="HWF50" s="952"/>
      <c r="HWG50" s="952"/>
      <c r="HWH50" s="952"/>
      <c r="HWI50" s="952"/>
      <c r="HWJ50" s="952"/>
      <c r="HWK50" s="952"/>
      <c r="HWL50" s="952"/>
      <c r="HWM50" s="952"/>
      <c r="HWN50" s="952"/>
      <c r="HWO50" s="952"/>
      <c r="HWP50" s="952"/>
      <c r="HWQ50" s="952"/>
      <c r="HWR50" s="952"/>
      <c r="HWS50" s="952"/>
      <c r="HWT50" s="952"/>
      <c r="HWU50" s="952"/>
      <c r="HWV50" s="952"/>
      <c r="HWW50" s="952"/>
      <c r="HWX50" s="952"/>
      <c r="HWY50" s="952"/>
      <c r="HWZ50" s="952"/>
      <c r="HXA50" s="952"/>
      <c r="HXB50" s="952"/>
      <c r="HXC50" s="952"/>
      <c r="HXD50" s="952"/>
      <c r="HXE50" s="952"/>
      <c r="HXF50" s="952"/>
      <c r="HXG50" s="952"/>
      <c r="HXH50" s="952"/>
      <c r="HXI50" s="952"/>
      <c r="HXJ50" s="952"/>
      <c r="HXK50" s="952"/>
      <c r="HXL50" s="952"/>
      <c r="HXM50" s="952"/>
      <c r="HXN50" s="952"/>
      <c r="HXO50" s="952"/>
      <c r="HXP50" s="952"/>
      <c r="HXQ50" s="952"/>
      <c r="HXR50" s="952"/>
      <c r="HXS50" s="952"/>
      <c r="HXT50" s="952"/>
      <c r="HXU50" s="952"/>
      <c r="HXV50" s="952"/>
      <c r="HXW50" s="952"/>
      <c r="HXX50" s="952"/>
      <c r="HXY50" s="952"/>
      <c r="HXZ50" s="952"/>
      <c r="HYA50" s="952"/>
      <c r="HYB50" s="952"/>
      <c r="HYC50" s="952"/>
      <c r="HYD50" s="952"/>
      <c r="HYE50" s="952"/>
      <c r="HYF50" s="952"/>
      <c r="HYG50" s="952"/>
      <c r="HYH50" s="952"/>
      <c r="HYI50" s="952"/>
      <c r="HYJ50" s="952"/>
      <c r="HYK50" s="952"/>
      <c r="HYL50" s="952"/>
      <c r="HYM50" s="952"/>
      <c r="HYN50" s="952"/>
      <c r="HYO50" s="952"/>
      <c r="HYP50" s="952"/>
      <c r="HYQ50" s="952"/>
      <c r="HYR50" s="952"/>
      <c r="HYS50" s="952"/>
      <c r="HYT50" s="952"/>
      <c r="HYU50" s="952"/>
      <c r="HYV50" s="952"/>
      <c r="HYW50" s="952"/>
      <c r="HYX50" s="952"/>
      <c r="HYY50" s="952"/>
      <c r="HYZ50" s="952"/>
      <c r="HZA50" s="952"/>
      <c r="HZB50" s="952"/>
      <c r="HZC50" s="952"/>
      <c r="HZD50" s="952"/>
      <c r="HZE50" s="952"/>
      <c r="HZF50" s="952"/>
      <c r="HZG50" s="952"/>
      <c r="HZH50" s="952"/>
      <c r="HZI50" s="952"/>
      <c r="HZJ50" s="952"/>
      <c r="HZK50" s="952"/>
      <c r="HZL50" s="952"/>
      <c r="HZM50" s="952"/>
      <c r="HZN50" s="952"/>
      <c r="HZO50" s="952"/>
      <c r="HZP50" s="952"/>
      <c r="HZQ50" s="952"/>
      <c r="HZR50" s="952"/>
      <c r="HZS50" s="952"/>
      <c r="HZT50" s="952"/>
      <c r="HZU50" s="952"/>
      <c r="HZV50" s="952"/>
      <c r="HZW50" s="952"/>
      <c r="HZX50" s="952"/>
      <c r="HZY50" s="952"/>
      <c r="HZZ50" s="952"/>
      <c r="IAA50" s="952"/>
      <c r="IAB50" s="952"/>
      <c r="IAC50" s="952"/>
      <c r="IAD50" s="952"/>
      <c r="IAE50" s="952"/>
      <c r="IAF50" s="952"/>
      <c r="IAG50" s="952"/>
      <c r="IAH50" s="952"/>
      <c r="IAI50" s="952"/>
      <c r="IAJ50" s="952"/>
      <c r="IAK50" s="952"/>
      <c r="IAL50" s="952"/>
      <c r="IAM50" s="952"/>
      <c r="IAN50" s="952"/>
      <c r="IAO50" s="952"/>
      <c r="IAP50" s="952"/>
      <c r="IAQ50" s="952"/>
      <c r="IAR50" s="952"/>
      <c r="IAS50" s="952"/>
      <c r="IAT50" s="952"/>
      <c r="IAU50" s="952"/>
      <c r="IAV50" s="952"/>
      <c r="IAW50" s="952"/>
      <c r="IAX50" s="952"/>
      <c r="IAY50" s="952"/>
      <c r="IAZ50" s="952"/>
      <c r="IBA50" s="952"/>
      <c r="IBB50" s="952"/>
      <c r="IBC50" s="952"/>
      <c r="IBD50" s="952"/>
      <c r="IBE50" s="952"/>
      <c r="IBF50" s="952"/>
      <c r="IBG50" s="952"/>
      <c r="IBH50" s="952"/>
      <c r="IBI50" s="952"/>
      <c r="IBJ50" s="952"/>
      <c r="IBK50" s="952"/>
      <c r="IBL50" s="952"/>
      <c r="IBM50" s="952"/>
      <c r="IBN50" s="952"/>
      <c r="IBO50" s="952"/>
      <c r="IBP50" s="952"/>
      <c r="IBQ50" s="952"/>
      <c r="IBR50" s="952"/>
      <c r="IBS50" s="952"/>
      <c r="IBT50" s="952"/>
      <c r="IBU50" s="952"/>
      <c r="IBV50" s="952"/>
      <c r="IBW50" s="952"/>
      <c r="IBX50" s="952"/>
      <c r="IBY50" s="952"/>
      <c r="IBZ50" s="952"/>
      <c r="ICA50" s="952"/>
      <c r="ICB50" s="952"/>
      <c r="ICC50" s="952"/>
      <c r="ICD50" s="952"/>
      <c r="ICE50" s="952"/>
      <c r="ICF50" s="952"/>
      <c r="ICG50" s="952"/>
      <c r="ICH50" s="952"/>
      <c r="ICI50" s="952"/>
      <c r="ICJ50" s="952"/>
      <c r="ICK50" s="952"/>
      <c r="ICL50" s="952"/>
      <c r="ICM50" s="952"/>
      <c r="ICN50" s="952"/>
      <c r="ICO50" s="952"/>
      <c r="ICP50" s="952"/>
      <c r="ICQ50" s="952"/>
      <c r="ICR50" s="952"/>
      <c r="ICS50" s="952"/>
      <c r="ICT50" s="952"/>
      <c r="ICU50" s="952"/>
      <c r="ICV50" s="952"/>
      <c r="ICW50" s="952"/>
      <c r="ICX50" s="952"/>
      <c r="ICY50" s="952"/>
      <c r="ICZ50" s="952"/>
      <c r="IDA50" s="952"/>
      <c r="IDB50" s="952"/>
      <c r="IDC50" s="952"/>
      <c r="IDD50" s="952"/>
      <c r="IDE50" s="952"/>
      <c r="IDF50" s="952"/>
      <c r="IDG50" s="952"/>
      <c r="IDH50" s="952"/>
      <c r="IDI50" s="952"/>
      <c r="IDJ50" s="952"/>
      <c r="IDK50" s="952"/>
      <c r="IDL50" s="952"/>
      <c r="IDM50" s="952"/>
      <c r="IDN50" s="952"/>
      <c r="IDO50" s="952"/>
      <c r="IDP50" s="952"/>
      <c r="IDQ50" s="952"/>
      <c r="IDR50" s="952"/>
      <c r="IDS50" s="952"/>
      <c r="IDT50" s="952"/>
      <c r="IDU50" s="952"/>
      <c r="IDV50" s="952"/>
      <c r="IDW50" s="952"/>
      <c r="IDX50" s="952"/>
      <c r="IDY50" s="952"/>
      <c r="IDZ50" s="952"/>
      <c r="IEA50" s="952"/>
      <c r="IEB50" s="952"/>
      <c r="IEC50" s="952"/>
      <c r="IED50" s="952"/>
      <c r="IEE50" s="952"/>
      <c r="IEF50" s="952"/>
      <c r="IEG50" s="952"/>
      <c r="IEH50" s="952"/>
      <c r="IEI50" s="952"/>
      <c r="IEJ50" s="952"/>
      <c r="IEK50" s="952"/>
      <c r="IEL50" s="952"/>
      <c r="IEM50" s="952"/>
      <c r="IEN50" s="952"/>
      <c r="IEO50" s="952"/>
      <c r="IEP50" s="952"/>
      <c r="IEQ50" s="952"/>
      <c r="IER50" s="952"/>
      <c r="IES50" s="952"/>
      <c r="IET50" s="952"/>
      <c r="IEU50" s="952"/>
      <c r="IEV50" s="952"/>
      <c r="IEW50" s="952"/>
      <c r="IEX50" s="952"/>
      <c r="IEY50" s="952"/>
      <c r="IEZ50" s="952"/>
      <c r="IFA50" s="952"/>
      <c r="IFB50" s="952"/>
      <c r="IFC50" s="952"/>
      <c r="IFD50" s="952"/>
      <c r="IFE50" s="952"/>
      <c r="IFF50" s="952"/>
      <c r="IFG50" s="952"/>
      <c r="IFH50" s="952"/>
      <c r="IFI50" s="952"/>
      <c r="IFJ50" s="952"/>
      <c r="IFK50" s="952"/>
      <c r="IFL50" s="952"/>
      <c r="IFM50" s="952"/>
      <c r="IFN50" s="952"/>
      <c r="IFO50" s="952"/>
      <c r="IFP50" s="952"/>
      <c r="IFQ50" s="952"/>
      <c r="IFR50" s="952"/>
      <c r="IFS50" s="952"/>
      <c r="IFT50" s="952"/>
      <c r="IFU50" s="952"/>
      <c r="IFV50" s="952"/>
      <c r="IFW50" s="952"/>
      <c r="IFX50" s="952"/>
      <c r="IFY50" s="952"/>
      <c r="IFZ50" s="952"/>
      <c r="IGA50" s="952"/>
      <c r="IGB50" s="952"/>
      <c r="IGC50" s="952"/>
      <c r="IGD50" s="952"/>
      <c r="IGE50" s="952"/>
      <c r="IGF50" s="952"/>
      <c r="IGG50" s="952"/>
      <c r="IGH50" s="952"/>
      <c r="IGI50" s="952"/>
      <c r="IGJ50" s="952"/>
      <c r="IGK50" s="952"/>
      <c r="IGL50" s="952"/>
      <c r="IGM50" s="952"/>
      <c r="IGN50" s="952"/>
      <c r="IGO50" s="952"/>
      <c r="IGP50" s="952"/>
      <c r="IGQ50" s="952"/>
      <c r="IGR50" s="952"/>
      <c r="IGS50" s="952"/>
      <c r="IGT50" s="952"/>
      <c r="IGU50" s="952"/>
      <c r="IGV50" s="952"/>
      <c r="IGW50" s="952"/>
      <c r="IGX50" s="952"/>
      <c r="IGY50" s="952"/>
      <c r="IGZ50" s="952"/>
      <c r="IHA50" s="952"/>
      <c r="IHB50" s="952"/>
      <c r="IHC50" s="952"/>
      <c r="IHD50" s="952"/>
      <c r="IHE50" s="952"/>
      <c r="IHF50" s="952"/>
      <c r="IHG50" s="952"/>
      <c r="IHH50" s="952"/>
      <c r="IHI50" s="952"/>
      <c r="IHJ50" s="952"/>
      <c r="IHK50" s="952"/>
      <c r="IHL50" s="952"/>
      <c r="IHM50" s="952"/>
      <c r="IHN50" s="952"/>
      <c r="IHO50" s="952"/>
      <c r="IHP50" s="952"/>
      <c r="IHQ50" s="952"/>
      <c r="IHR50" s="952"/>
      <c r="IHS50" s="952"/>
      <c r="IHT50" s="952"/>
      <c r="IHU50" s="952"/>
      <c r="IHV50" s="952"/>
      <c r="IHW50" s="952"/>
      <c r="IHX50" s="952"/>
      <c r="IHY50" s="952"/>
      <c r="IHZ50" s="952"/>
      <c r="IIA50" s="952"/>
      <c r="IIB50" s="952"/>
      <c r="IIC50" s="952"/>
      <c r="IID50" s="952"/>
      <c r="IIE50" s="952"/>
      <c r="IIF50" s="952"/>
      <c r="IIG50" s="952"/>
      <c r="IIH50" s="952"/>
      <c r="III50" s="952"/>
      <c r="IIJ50" s="952"/>
      <c r="IIK50" s="952"/>
      <c r="IIL50" s="952"/>
      <c r="IIM50" s="952"/>
      <c r="IIN50" s="952"/>
      <c r="IIO50" s="952"/>
      <c r="IIP50" s="952"/>
      <c r="IIQ50" s="952"/>
      <c r="IIR50" s="952"/>
      <c r="IIS50" s="952"/>
      <c r="IIT50" s="952"/>
      <c r="IIU50" s="952"/>
      <c r="IIV50" s="952"/>
      <c r="IIW50" s="952"/>
      <c r="IIX50" s="952"/>
      <c r="IIY50" s="952"/>
      <c r="IIZ50" s="952"/>
      <c r="IJA50" s="952"/>
      <c r="IJB50" s="952"/>
      <c r="IJC50" s="952"/>
      <c r="IJD50" s="952"/>
      <c r="IJE50" s="952"/>
      <c r="IJF50" s="952"/>
      <c r="IJG50" s="952"/>
      <c r="IJH50" s="952"/>
      <c r="IJI50" s="952"/>
      <c r="IJJ50" s="952"/>
      <c r="IJK50" s="952"/>
      <c r="IJL50" s="952"/>
      <c r="IJM50" s="952"/>
      <c r="IJN50" s="952"/>
      <c r="IJO50" s="952"/>
      <c r="IJP50" s="952"/>
      <c r="IJQ50" s="952"/>
      <c r="IJR50" s="952"/>
      <c r="IJS50" s="952"/>
      <c r="IJT50" s="952"/>
      <c r="IJU50" s="952"/>
      <c r="IJV50" s="952"/>
      <c r="IJW50" s="952"/>
      <c r="IJX50" s="952"/>
      <c r="IJY50" s="952"/>
      <c r="IJZ50" s="952"/>
      <c r="IKA50" s="952"/>
      <c r="IKB50" s="952"/>
      <c r="IKC50" s="952"/>
      <c r="IKD50" s="952"/>
      <c r="IKE50" s="952"/>
      <c r="IKF50" s="952"/>
      <c r="IKG50" s="952"/>
      <c r="IKH50" s="952"/>
      <c r="IKI50" s="952"/>
      <c r="IKJ50" s="952"/>
      <c r="IKK50" s="952"/>
      <c r="IKL50" s="952"/>
      <c r="IKM50" s="952"/>
      <c r="IKN50" s="952"/>
      <c r="IKO50" s="952"/>
      <c r="IKP50" s="952"/>
      <c r="IKQ50" s="952"/>
      <c r="IKR50" s="952"/>
      <c r="IKS50" s="952"/>
      <c r="IKT50" s="952"/>
      <c r="IKU50" s="952"/>
      <c r="IKV50" s="952"/>
      <c r="IKW50" s="952"/>
      <c r="IKX50" s="952"/>
      <c r="IKY50" s="952"/>
      <c r="IKZ50" s="952"/>
      <c r="ILA50" s="952"/>
      <c r="ILB50" s="952"/>
      <c r="ILC50" s="952"/>
      <c r="ILD50" s="952"/>
      <c r="ILE50" s="952"/>
      <c r="ILF50" s="952"/>
      <c r="ILG50" s="952"/>
      <c r="ILH50" s="952"/>
      <c r="ILI50" s="952"/>
      <c r="ILJ50" s="952"/>
      <c r="ILK50" s="952"/>
      <c r="ILL50" s="952"/>
      <c r="ILM50" s="952"/>
      <c r="ILN50" s="952"/>
      <c r="ILO50" s="952"/>
      <c r="ILP50" s="952"/>
      <c r="ILQ50" s="952"/>
      <c r="ILR50" s="952"/>
      <c r="ILS50" s="952"/>
      <c r="ILT50" s="952"/>
      <c r="ILU50" s="952"/>
      <c r="ILV50" s="952"/>
      <c r="ILW50" s="952"/>
      <c r="ILX50" s="952"/>
      <c r="ILY50" s="952"/>
      <c r="ILZ50" s="952"/>
      <c r="IMA50" s="952"/>
      <c r="IMB50" s="952"/>
      <c r="IMC50" s="952"/>
      <c r="IMD50" s="952"/>
      <c r="IME50" s="952"/>
      <c r="IMF50" s="952"/>
      <c r="IMG50" s="952"/>
      <c r="IMH50" s="952"/>
      <c r="IMI50" s="952"/>
      <c r="IMJ50" s="952"/>
      <c r="IMK50" s="952"/>
      <c r="IML50" s="952"/>
      <c r="IMM50" s="952"/>
      <c r="IMN50" s="952"/>
      <c r="IMO50" s="952"/>
      <c r="IMP50" s="952"/>
      <c r="IMQ50" s="952"/>
      <c r="IMR50" s="952"/>
      <c r="IMS50" s="952"/>
      <c r="IMT50" s="952"/>
      <c r="IMU50" s="952"/>
      <c r="IMV50" s="952"/>
      <c r="IMW50" s="952"/>
      <c r="IMX50" s="952"/>
      <c r="IMY50" s="952"/>
      <c r="IMZ50" s="952"/>
      <c r="INA50" s="952"/>
      <c r="INB50" s="952"/>
      <c r="INC50" s="952"/>
      <c r="IND50" s="952"/>
      <c r="INE50" s="952"/>
      <c r="INF50" s="952"/>
      <c r="ING50" s="952"/>
      <c r="INH50" s="952"/>
      <c r="INI50" s="952"/>
      <c r="INJ50" s="952"/>
      <c r="INK50" s="952"/>
      <c r="INL50" s="952"/>
      <c r="INM50" s="952"/>
      <c r="INN50" s="952"/>
      <c r="INO50" s="952"/>
      <c r="INP50" s="952"/>
      <c r="INQ50" s="952"/>
      <c r="INR50" s="952"/>
      <c r="INS50" s="952"/>
      <c r="INT50" s="952"/>
      <c r="INU50" s="952"/>
      <c r="INV50" s="952"/>
      <c r="INW50" s="952"/>
      <c r="INX50" s="952"/>
      <c r="INY50" s="952"/>
      <c r="INZ50" s="952"/>
      <c r="IOA50" s="952"/>
      <c r="IOB50" s="952"/>
      <c r="IOC50" s="952"/>
      <c r="IOD50" s="952"/>
      <c r="IOE50" s="952"/>
      <c r="IOF50" s="952"/>
      <c r="IOG50" s="952"/>
      <c r="IOH50" s="952"/>
      <c r="IOI50" s="952"/>
      <c r="IOJ50" s="952"/>
      <c r="IOK50" s="952"/>
      <c r="IOL50" s="952"/>
      <c r="IOM50" s="952"/>
      <c r="ION50" s="952"/>
      <c r="IOO50" s="952"/>
      <c r="IOP50" s="952"/>
      <c r="IOQ50" s="952"/>
      <c r="IOR50" s="952"/>
      <c r="IOS50" s="952"/>
      <c r="IOT50" s="952"/>
      <c r="IOU50" s="952"/>
      <c r="IOV50" s="952"/>
      <c r="IOW50" s="952"/>
      <c r="IOX50" s="952"/>
      <c r="IOY50" s="952"/>
      <c r="IOZ50" s="952"/>
      <c r="IPA50" s="952"/>
      <c r="IPB50" s="952"/>
      <c r="IPC50" s="952"/>
      <c r="IPD50" s="952"/>
      <c r="IPE50" s="952"/>
      <c r="IPF50" s="952"/>
      <c r="IPG50" s="952"/>
      <c r="IPH50" s="952"/>
      <c r="IPI50" s="952"/>
      <c r="IPJ50" s="952"/>
      <c r="IPK50" s="952"/>
      <c r="IPL50" s="952"/>
      <c r="IPM50" s="952"/>
      <c r="IPN50" s="952"/>
      <c r="IPO50" s="952"/>
      <c r="IPP50" s="952"/>
      <c r="IPQ50" s="952"/>
      <c r="IPR50" s="952"/>
      <c r="IPS50" s="952"/>
      <c r="IPT50" s="952"/>
      <c r="IPU50" s="952"/>
      <c r="IPV50" s="952"/>
      <c r="IPW50" s="952"/>
      <c r="IPX50" s="952"/>
      <c r="IPY50" s="952"/>
      <c r="IPZ50" s="952"/>
      <c r="IQA50" s="952"/>
      <c r="IQB50" s="952"/>
      <c r="IQC50" s="952"/>
      <c r="IQD50" s="952"/>
      <c r="IQE50" s="952"/>
      <c r="IQF50" s="952"/>
      <c r="IQG50" s="952"/>
      <c r="IQH50" s="952"/>
      <c r="IQI50" s="952"/>
      <c r="IQJ50" s="952"/>
      <c r="IQK50" s="952"/>
      <c r="IQL50" s="952"/>
      <c r="IQM50" s="952"/>
      <c r="IQN50" s="952"/>
      <c r="IQO50" s="952"/>
      <c r="IQP50" s="952"/>
      <c r="IQQ50" s="952"/>
      <c r="IQR50" s="952"/>
      <c r="IQS50" s="952"/>
      <c r="IQT50" s="952"/>
      <c r="IQU50" s="952"/>
      <c r="IQV50" s="952"/>
      <c r="IQW50" s="952"/>
      <c r="IQX50" s="952"/>
      <c r="IQY50" s="952"/>
      <c r="IQZ50" s="952"/>
      <c r="IRA50" s="952"/>
      <c r="IRB50" s="952"/>
      <c r="IRC50" s="952"/>
      <c r="IRD50" s="952"/>
      <c r="IRE50" s="952"/>
      <c r="IRF50" s="952"/>
      <c r="IRG50" s="952"/>
      <c r="IRH50" s="952"/>
      <c r="IRI50" s="952"/>
      <c r="IRJ50" s="952"/>
      <c r="IRK50" s="952"/>
      <c r="IRL50" s="952"/>
      <c r="IRM50" s="952"/>
      <c r="IRN50" s="952"/>
      <c r="IRO50" s="952"/>
      <c r="IRP50" s="952"/>
      <c r="IRQ50" s="952"/>
      <c r="IRR50" s="952"/>
      <c r="IRS50" s="952"/>
      <c r="IRT50" s="952"/>
      <c r="IRU50" s="952"/>
      <c r="IRV50" s="952"/>
      <c r="IRW50" s="952"/>
      <c r="IRX50" s="952"/>
      <c r="IRY50" s="952"/>
      <c r="IRZ50" s="952"/>
      <c r="ISA50" s="952"/>
      <c r="ISB50" s="952"/>
      <c r="ISC50" s="952"/>
      <c r="ISD50" s="952"/>
      <c r="ISE50" s="952"/>
      <c r="ISF50" s="952"/>
      <c r="ISG50" s="952"/>
      <c r="ISH50" s="952"/>
      <c r="ISI50" s="952"/>
      <c r="ISJ50" s="952"/>
      <c r="ISK50" s="952"/>
      <c r="ISL50" s="952"/>
      <c r="ISM50" s="952"/>
      <c r="ISN50" s="952"/>
      <c r="ISO50" s="952"/>
      <c r="ISP50" s="952"/>
      <c r="ISQ50" s="952"/>
      <c r="ISR50" s="952"/>
      <c r="ISS50" s="952"/>
      <c r="IST50" s="952"/>
      <c r="ISU50" s="952"/>
      <c r="ISV50" s="952"/>
      <c r="ISW50" s="952"/>
      <c r="ISX50" s="952"/>
      <c r="ISY50" s="952"/>
      <c r="ISZ50" s="952"/>
      <c r="ITA50" s="952"/>
      <c r="ITB50" s="952"/>
      <c r="ITC50" s="952"/>
      <c r="ITD50" s="952"/>
      <c r="ITE50" s="952"/>
      <c r="ITF50" s="952"/>
      <c r="ITG50" s="952"/>
      <c r="ITH50" s="952"/>
      <c r="ITI50" s="952"/>
      <c r="ITJ50" s="952"/>
      <c r="ITK50" s="952"/>
      <c r="ITL50" s="952"/>
      <c r="ITM50" s="952"/>
      <c r="ITN50" s="952"/>
      <c r="ITO50" s="952"/>
      <c r="ITP50" s="952"/>
      <c r="ITQ50" s="952"/>
      <c r="ITR50" s="952"/>
      <c r="ITS50" s="952"/>
      <c r="ITT50" s="952"/>
      <c r="ITU50" s="952"/>
      <c r="ITV50" s="952"/>
      <c r="ITW50" s="952"/>
      <c r="ITX50" s="952"/>
      <c r="ITY50" s="952"/>
      <c r="ITZ50" s="952"/>
      <c r="IUA50" s="952"/>
      <c r="IUB50" s="952"/>
      <c r="IUC50" s="952"/>
      <c r="IUD50" s="952"/>
      <c r="IUE50" s="952"/>
      <c r="IUF50" s="952"/>
      <c r="IUG50" s="952"/>
      <c r="IUH50" s="952"/>
      <c r="IUI50" s="952"/>
      <c r="IUJ50" s="952"/>
      <c r="IUK50" s="952"/>
      <c r="IUL50" s="952"/>
      <c r="IUM50" s="952"/>
      <c r="IUN50" s="952"/>
      <c r="IUO50" s="952"/>
      <c r="IUP50" s="952"/>
      <c r="IUQ50" s="952"/>
      <c r="IUR50" s="952"/>
      <c r="IUS50" s="952"/>
      <c r="IUT50" s="952"/>
      <c r="IUU50" s="952"/>
      <c r="IUV50" s="952"/>
      <c r="IUW50" s="952"/>
      <c r="IUX50" s="952"/>
      <c r="IUY50" s="952"/>
      <c r="IUZ50" s="952"/>
      <c r="IVA50" s="952"/>
      <c r="IVB50" s="952"/>
      <c r="IVC50" s="952"/>
      <c r="IVD50" s="952"/>
      <c r="IVE50" s="952"/>
      <c r="IVF50" s="952"/>
      <c r="IVG50" s="952"/>
      <c r="IVH50" s="952"/>
      <c r="IVI50" s="952"/>
      <c r="IVJ50" s="952"/>
      <c r="IVK50" s="952"/>
      <c r="IVL50" s="952"/>
      <c r="IVM50" s="952"/>
      <c r="IVN50" s="952"/>
      <c r="IVO50" s="952"/>
      <c r="IVP50" s="952"/>
      <c r="IVQ50" s="952"/>
      <c r="IVR50" s="952"/>
      <c r="IVS50" s="952"/>
      <c r="IVT50" s="952"/>
      <c r="IVU50" s="952"/>
      <c r="IVV50" s="952"/>
      <c r="IVW50" s="952"/>
      <c r="IVX50" s="952"/>
      <c r="IVY50" s="952"/>
      <c r="IVZ50" s="952"/>
      <c r="IWA50" s="952"/>
      <c r="IWB50" s="952"/>
      <c r="IWC50" s="952"/>
      <c r="IWD50" s="952"/>
      <c r="IWE50" s="952"/>
      <c r="IWF50" s="952"/>
      <c r="IWG50" s="952"/>
      <c r="IWH50" s="952"/>
      <c r="IWI50" s="952"/>
      <c r="IWJ50" s="952"/>
      <c r="IWK50" s="952"/>
      <c r="IWL50" s="952"/>
      <c r="IWM50" s="952"/>
      <c r="IWN50" s="952"/>
      <c r="IWO50" s="952"/>
      <c r="IWP50" s="952"/>
      <c r="IWQ50" s="952"/>
      <c r="IWR50" s="952"/>
      <c r="IWS50" s="952"/>
      <c r="IWT50" s="952"/>
      <c r="IWU50" s="952"/>
      <c r="IWV50" s="952"/>
      <c r="IWW50" s="952"/>
      <c r="IWX50" s="952"/>
      <c r="IWY50" s="952"/>
      <c r="IWZ50" s="952"/>
      <c r="IXA50" s="952"/>
      <c r="IXB50" s="952"/>
      <c r="IXC50" s="952"/>
      <c r="IXD50" s="952"/>
      <c r="IXE50" s="952"/>
      <c r="IXF50" s="952"/>
      <c r="IXG50" s="952"/>
      <c r="IXH50" s="952"/>
      <c r="IXI50" s="952"/>
      <c r="IXJ50" s="952"/>
      <c r="IXK50" s="952"/>
      <c r="IXL50" s="952"/>
      <c r="IXM50" s="952"/>
      <c r="IXN50" s="952"/>
      <c r="IXO50" s="952"/>
      <c r="IXP50" s="952"/>
      <c r="IXQ50" s="952"/>
      <c r="IXR50" s="952"/>
      <c r="IXS50" s="952"/>
      <c r="IXT50" s="952"/>
      <c r="IXU50" s="952"/>
      <c r="IXV50" s="952"/>
      <c r="IXW50" s="952"/>
      <c r="IXX50" s="952"/>
      <c r="IXY50" s="952"/>
      <c r="IXZ50" s="952"/>
      <c r="IYA50" s="952"/>
      <c r="IYB50" s="952"/>
      <c r="IYC50" s="952"/>
      <c r="IYD50" s="952"/>
      <c r="IYE50" s="952"/>
      <c r="IYF50" s="952"/>
      <c r="IYG50" s="952"/>
      <c r="IYH50" s="952"/>
      <c r="IYI50" s="952"/>
      <c r="IYJ50" s="952"/>
      <c r="IYK50" s="952"/>
      <c r="IYL50" s="952"/>
      <c r="IYM50" s="952"/>
      <c r="IYN50" s="952"/>
      <c r="IYO50" s="952"/>
      <c r="IYP50" s="952"/>
      <c r="IYQ50" s="952"/>
      <c r="IYR50" s="952"/>
      <c r="IYS50" s="952"/>
      <c r="IYT50" s="952"/>
      <c r="IYU50" s="952"/>
      <c r="IYV50" s="952"/>
      <c r="IYW50" s="952"/>
      <c r="IYX50" s="952"/>
      <c r="IYY50" s="952"/>
      <c r="IYZ50" s="952"/>
      <c r="IZA50" s="952"/>
      <c r="IZB50" s="952"/>
      <c r="IZC50" s="952"/>
      <c r="IZD50" s="952"/>
      <c r="IZE50" s="952"/>
      <c r="IZF50" s="952"/>
      <c r="IZG50" s="952"/>
      <c r="IZH50" s="952"/>
      <c r="IZI50" s="952"/>
      <c r="IZJ50" s="952"/>
      <c r="IZK50" s="952"/>
      <c r="IZL50" s="952"/>
      <c r="IZM50" s="952"/>
      <c r="IZN50" s="952"/>
      <c r="IZO50" s="952"/>
      <c r="IZP50" s="952"/>
      <c r="IZQ50" s="952"/>
      <c r="IZR50" s="952"/>
      <c r="IZS50" s="952"/>
      <c r="IZT50" s="952"/>
      <c r="IZU50" s="952"/>
      <c r="IZV50" s="952"/>
      <c r="IZW50" s="952"/>
      <c r="IZX50" s="952"/>
      <c r="IZY50" s="952"/>
      <c r="IZZ50" s="952"/>
      <c r="JAA50" s="952"/>
      <c r="JAB50" s="952"/>
      <c r="JAC50" s="952"/>
      <c r="JAD50" s="952"/>
      <c r="JAE50" s="952"/>
      <c r="JAF50" s="952"/>
      <c r="JAG50" s="952"/>
      <c r="JAH50" s="952"/>
      <c r="JAI50" s="952"/>
      <c r="JAJ50" s="952"/>
      <c r="JAK50" s="952"/>
      <c r="JAL50" s="952"/>
      <c r="JAM50" s="952"/>
      <c r="JAN50" s="952"/>
      <c r="JAO50" s="952"/>
      <c r="JAP50" s="952"/>
      <c r="JAQ50" s="952"/>
      <c r="JAR50" s="952"/>
      <c r="JAS50" s="952"/>
      <c r="JAT50" s="952"/>
      <c r="JAU50" s="952"/>
      <c r="JAV50" s="952"/>
      <c r="JAW50" s="952"/>
      <c r="JAX50" s="952"/>
      <c r="JAY50" s="952"/>
      <c r="JAZ50" s="952"/>
      <c r="JBA50" s="952"/>
      <c r="JBB50" s="952"/>
      <c r="JBC50" s="952"/>
      <c r="JBD50" s="952"/>
      <c r="JBE50" s="952"/>
      <c r="JBF50" s="952"/>
      <c r="JBG50" s="952"/>
      <c r="JBH50" s="952"/>
      <c r="JBI50" s="952"/>
      <c r="JBJ50" s="952"/>
      <c r="JBK50" s="952"/>
      <c r="JBL50" s="952"/>
      <c r="JBM50" s="952"/>
      <c r="JBN50" s="952"/>
      <c r="JBO50" s="952"/>
      <c r="JBP50" s="952"/>
      <c r="JBQ50" s="952"/>
      <c r="JBR50" s="952"/>
      <c r="JBS50" s="952"/>
      <c r="JBT50" s="952"/>
      <c r="JBU50" s="952"/>
      <c r="JBV50" s="952"/>
      <c r="JBW50" s="952"/>
      <c r="JBX50" s="952"/>
      <c r="JBY50" s="952"/>
      <c r="JBZ50" s="952"/>
      <c r="JCA50" s="952"/>
      <c r="JCB50" s="952"/>
      <c r="JCC50" s="952"/>
      <c r="JCD50" s="952"/>
      <c r="JCE50" s="952"/>
      <c r="JCF50" s="952"/>
      <c r="JCG50" s="952"/>
      <c r="JCH50" s="952"/>
      <c r="JCI50" s="952"/>
      <c r="JCJ50" s="952"/>
      <c r="JCK50" s="952"/>
      <c r="JCL50" s="952"/>
      <c r="JCM50" s="952"/>
      <c r="JCN50" s="952"/>
      <c r="JCO50" s="952"/>
      <c r="JCP50" s="952"/>
      <c r="JCQ50" s="952"/>
      <c r="JCR50" s="952"/>
      <c r="JCS50" s="952"/>
      <c r="JCT50" s="952"/>
      <c r="JCU50" s="952"/>
      <c r="JCV50" s="952"/>
      <c r="JCW50" s="952"/>
      <c r="JCX50" s="952"/>
      <c r="JCY50" s="952"/>
      <c r="JCZ50" s="952"/>
      <c r="JDA50" s="952"/>
      <c r="JDB50" s="952"/>
      <c r="JDC50" s="952"/>
      <c r="JDD50" s="952"/>
      <c r="JDE50" s="952"/>
      <c r="JDF50" s="952"/>
      <c r="JDG50" s="952"/>
      <c r="JDH50" s="952"/>
      <c r="JDI50" s="952"/>
      <c r="JDJ50" s="952"/>
      <c r="JDK50" s="952"/>
      <c r="JDL50" s="952"/>
      <c r="JDM50" s="952"/>
      <c r="JDN50" s="952"/>
      <c r="JDO50" s="952"/>
      <c r="JDP50" s="952"/>
      <c r="JDQ50" s="952"/>
      <c r="JDR50" s="952"/>
      <c r="JDS50" s="952"/>
      <c r="JDT50" s="952"/>
      <c r="JDU50" s="952"/>
      <c r="JDV50" s="952"/>
      <c r="JDW50" s="952"/>
      <c r="JDX50" s="952"/>
      <c r="JDY50" s="952"/>
      <c r="JDZ50" s="952"/>
      <c r="JEA50" s="952"/>
      <c r="JEB50" s="952"/>
      <c r="JEC50" s="952"/>
      <c r="JED50" s="952"/>
      <c r="JEE50" s="952"/>
      <c r="JEF50" s="952"/>
      <c r="JEG50" s="952"/>
      <c r="JEH50" s="952"/>
      <c r="JEI50" s="952"/>
      <c r="JEJ50" s="952"/>
      <c r="JEK50" s="952"/>
      <c r="JEL50" s="952"/>
      <c r="JEM50" s="952"/>
      <c r="JEN50" s="952"/>
      <c r="JEO50" s="952"/>
      <c r="JEP50" s="952"/>
      <c r="JEQ50" s="952"/>
      <c r="JER50" s="952"/>
      <c r="JES50" s="952"/>
      <c r="JET50" s="952"/>
      <c r="JEU50" s="952"/>
      <c r="JEV50" s="952"/>
      <c r="JEW50" s="952"/>
      <c r="JEX50" s="952"/>
      <c r="JEY50" s="952"/>
      <c r="JEZ50" s="952"/>
      <c r="JFA50" s="952"/>
      <c r="JFB50" s="952"/>
      <c r="JFC50" s="952"/>
      <c r="JFD50" s="952"/>
      <c r="JFE50" s="952"/>
      <c r="JFF50" s="952"/>
      <c r="JFG50" s="952"/>
      <c r="JFH50" s="952"/>
      <c r="JFI50" s="952"/>
      <c r="JFJ50" s="952"/>
      <c r="JFK50" s="952"/>
      <c r="JFL50" s="952"/>
      <c r="JFM50" s="952"/>
      <c r="JFN50" s="952"/>
      <c r="JFO50" s="952"/>
      <c r="JFP50" s="952"/>
      <c r="JFQ50" s="952"/>
      <c r="JFR50" s="952"/>
      <c r="JFS50" s="952"/>
      <c r="JFT50" s="952"/>
      <c r="JFU50" s="952"/>
      <c r="JFV50" s="952"/>
      <c r="JFW50" s="952"/>
      <c r="JFX50" s="952"/>
      <c r="JFY50" s="952"/>
      <c r="JFZ50" s="952"/>
      <c r="JGA50" s="952"/>
      <c r="JGB50" s="952"/>
      <c r="JGC50" s="952"/>
      <c r="JGD50" s="952"/>
      <c r="JGE50" s="952"/>
      <c r="JGF50" s="952"/>
      <c r="JGG50" s="952"/>
      <c r="JGH50" s="952"/>
      <c r="JGI50" s="952"/>
      <c r="JGJ50" s="952"/>
      <c r="JGK50" s="952"/>
      <c r="JGL50" s="952"/>
      <c r="JGM50" s="952"/>
      <c r="JGN50" s="952"/>
      <c r="JGO50" s="952"/>
      <c r="JGP50" s="952"/>
      <c r="JGQ50" s="952"/>
      <c r="JGR50" s="952"/>
      <c r="JGS50" s="952"/>
      <c r="JGT50" s="952"/>
      <c r="JGU50" s="952"/>
      <c r="JGV50" s="952"/>
      <c r="JGW50" s="952"/>
      <c r="JGX50" s="952"/>
      <c r="JGY50" s="952"/>
      <c r="JGZ50" s="952"/>
      <c r="JHA50" s="952"/>
      <c r="JHB50" s="952"/>
      <c r="JHC50" s="952"/>
      <c r="JHD50" s="952"/>
      <c r="JHE50" s="952"/>
      <c r="JHF50" s="952"/>
      <c r="JHG50" s="952"/>
      <c r="JHH50" s="952"/>
      <c r="JHI50" s="952"/>
      <c r="JHJ50" s="952"/>
      <c r="JHK50" s="952"/>
      <c r="JHL50" s="952"/>
      <c r="JHM50" s="952"/>
      <c r="JHN50" s="952"/>
      <c r="JHO50" s="952"/>
      <c r="JHP50" s="952"/>
      <c r="JHQ50" s="952"/>
      <c r="JHR50" s="952"/>
      <c r="JHS50" s="952"/>
      <c r="JHT50" s="952"/>
      <c r="JHU50" s="952"/>
      <c r="JHV50" s="952"/>
      <c r="JHW50" s="952"/>
      <c r="JHX50" s="952"/>
      <c r="JHY50" s="952"/>
      <c r="JHZ50" s="952"/>
      <c r="JIA50" s="952"/>
      <c r="JIB50" s="952"/>
      <c r="JIC50" s="952"/>
      <c r="JID50" s="952"/>
      <c r="JIE50" s="952"/>
      <c r="JIF50" s="952"/>
      <c r="JIG50" s="952"/>
      <c r="JIH50" s="952"/>
      <c r="JII50" s="952"/>
      <c r="JIJ50" s="952"/>
      <c r="JIK50" s="952"/>
      <c r="JIL50" s="952"/>
      <c r="JIM50" s="952"/>
      <c r="JIN50" s="952"/>
      <c r="JIO50" s="952"/>
      <c r="JIP50" s="952"/>
      <c r="JIQ50" s="952"/>
      <c r="JIR50" s="952"/>
      <c r="JIS50" s="952"/>
      <c r="JIT50" s="952"/>
      <c r="JIU50" s="952"/>
      <c r="JIV50" s="952"/>
      <c r="JIW50" s="952"/>
      <c r="JIX50" s="952"/>
      <c r="JIY50" s="952"/>
      <c r="JIZ50" s="952"/>
      <c r="JJA50" s="952"/>
      <c r="JJB50" s="952"/>
      <c r="JJC50" s="952"/>
      <c r="JJD50" s="952"/>
      <c r="JJE50" s="952"/>
      <c r="JJF50" s="952"/>
      <c r="JJG50" s="952"/>
      <c r="JJH50" s="952"/>
      <c r="JJI50" s="952"/>
      <c r="JJJ50" s="952"/>
      <c r="JJK50" s="952"/>
      <c r="JJL50" s="952"/>
      <c r="JJM50" s="952"/>
      <c r="JJN50" s="952"/>
      <c r="JJO50" s="952"/>
      <c r="JJP50" s="952"/>
      <c r="JJQ50" s="952"/>
      <c r="JJR50" s="952"/>
      <c r="JJS50" s="952"/>
      <c r="JJT50" s="952"/>
      <c r="JJU50" s="952"/>
      <c r="JJV50" s="952"/>
      <c r="JJW50" s="952"/>
      <c r="JJX50" s="952"/>
      <c r="JJY50" s="952"/>
      <c r="JJZ50" s="952"/>
      <c r="JKA50" s="952"/>
      <c r="JKB50" s="952"/>
      <c r="JKC50" s="952"/>
      <c r="JKD50" s="952"/>
      <c r="JKE50" s="952"/>
      <c r="JKF50" s="952"/>
      <c r="JKG50" s="952"/>
      <c r="JKH50" s="952"/>
      <c r="JKI50" s="952"/>
      <c r="JKJ50" s="952"/>
      <c r="JKK50" s="952"/>
      <c r="JKL50" s="952"/>
      <c r="JKM50" s="952"/>
      <c r="JKN50" s="952"/>
      <c r="JKO50" s="952"/>
      <c r="JKP50" s="952"/>
      <c r="JKQ50" s="952"/>
      <c r="JKR50" s="952"/>
      <c r="JKS50" s="952"/>
      <c r="JKT50" s="952"/>
      <c r="JKU50" s="952"/>
      <c r="JKV50" s="952"/>
      <c r="JKW50" s="952"/>
      <c r="JKX50" s="952"/>
      <c r="JKY50" s="952"/>
      <c r="JKZ50" s="952"/>
      <c r="JLA50" s="952"/>
      <c r="JLB50" s="952"/>
      <c r="JLC50" s="952"/>
      <c r="JLD50" s="952"/>
      <c r="JLE50" s="952"/>
      <c r="JLF50" s="952"/>
      <c r="JLG50" s="952"/>
      <c r="JLH50" s="952"/>
      <c r="JLI50" s="952"/>
      <c r="JLJ50" s="952"/>
      <c r="JLK50" s="952"/>
      <c r="JLL50" s="952"/>
      <c r="JLM50" s="952"/>
      <c r="JLN50" s="952"/>
      <c r="JLO50" s="952"/>
      <c r="JLP50" s="952"/>
      <c r="JLQ50" s="952"/>
      <c r="JLR50" s="952"/>
      <c r="JLS50" s="952"/>
      <c r="JLT50" s="952"/>
      <c r="JLU50" s="952"/>
      <c r="JLV50" s="952"/>
      <c r="JLW50" s="952"/>
      <c r="JLX50" s="952"/>
      <c r="JLY50" s="952"/>
      <c r="JLZ50" s="952"/>
      <c r="JMA50" s="952"/>
      <c r="JMB50" s="952"/>
      <c r="JMC50" s="952"/>
      <c r="JMD50" s="952"/>
      <c r="JME50" s="952"/>
      <c r="JMF50" s="952"/>
      <c r="JMG50" s="952"/>
      <c r="JMH50" s="952"/>
      <c r="JMI50" s="952"/>
      <c r="JMJ50" s="952"/>
      <c r="JMK50" s="952"/>
      <c r="JML50" s="952"/>
      <c r="JMM50" s="952"/>
      <c r="JMN50" s="952"/>
      <c r="JMO50" s="952"/>
      <c r="JMP50" s="952"/>
      <c r="JMQ50" s="952"/>
      <c r="JMR50" s="952"/>
      <c r="JMS50" s="952"/>
      <c r="JMT50" s="952"/>
      <c r="JMU50" s="952"/>
      <c r="JMV50" s="952"/>
      <c r="JMW50" s="952"/>
      <c r="JMX50" s="952"/>
      <c r="JMY50" s="952"/>
      <c r="JMZ50" s="952"/>
      <c r="JNA50" s="952"/>
      <c r="JNB50" s="952"/>
      <c r="JNC50" s="952"/>
      <c r="JND50" s="952"/>
      <c r="JNE50" s="952"/>
      <c r="JNF50" s="952"/>
      <c r="JNG50" s="952"/>
      <c r="JNH50" s="952"/>
      <c r="JNI50" s="952"/>
      <c r="JNJ50" s="952"/>
      <c r="JNK50" s="952"/>
      <c r="JNL50" s="952"/>
      <c r="JNM50" s="952"/>
      <c r="JNN50" s="952"/>
      <c r="JNO50" s="952"/>
      <c r="JNP50" s="952"/>
      <c r="JNQ50" s="952"/>
      <c r="JNR50" s="952"/>
      <c r="JNS50" s="952"/>
      <c r="JNT50" s="952"/>
      <c r="JNU50" s="952"/>
      <c r="JNV50" s="952"/>
      <c r="JNW50" s="952"/>
      <c r="JNX50" s="952"/>
      <c r="JNY50" s="952"/>
      <c r="JNZ50" s="952"/>
      <c r="JOA50" s="952"/>
      <c r="JOB50" s="952"/>
      <c r="JOC50" s="952"/>
      <c r="JOD50" s="952"/>
      <c r="JOE50" s="952"/>
      <c r="JOF50" s="952"/>
      <c r="JOG50" s="952"/>
      <c r="JOH50" s="952"/>
      <c r="JOI50" s="952"/>
      <c r="JOJ50" s="952"/>
      <c r="JOK50" s="952"/>
      <c r="JOL50" s="952"/>
      <c r="JOM50" s="952"/>
      <c r="JON50" s="952"/>
      <c r="JOO50" s="952"/>
      <c r="JOP50" s="952"/>
      <c r="JOQ50" s="952"/>
      <c r="JOR50" s="952"/>
      <c r="JOS50" s="952"/>
      <c r="JOT50" s="952"/>
      <c r="JOU50" s="952"/>
      <c r="JOV50" s="952"/>
      <c r="JOW50" s="952"/>
      <c r="JOX50" s="952"/>
      <c r="JOY50" s="952"/>
      <c r="JOZ50" s="952"/>
      <c r="JPA50" s="952"/>
      <c r="JPB50" s="952"/>
      <c r="JPC50" s="952"/>
      <c r="JPD50" s="952"/>
      <c r="JPE50" s="952"/>
      <c r="JPF50" s="952"/>
      <c r="JPG50" s="952"/>
      <c r="JPH50" s="952"/>
      <c r="JPI50" s="952"/>
      <c r="JPJ50" s="952"/>
      <c r="JPK50" s="952"/>
      <c r="JPL50" s="952"/>
      <c r="JPM50" s="952"/>
      <c r="JPN50" s="952"/>
      <c r="JPO50" s="952"/>
      <c r="JPP50" s="952"/>
      <c r="JPQ50" s="952"/>
      <c r="JPR50" s="952"/>
      <c r="JPS50" s="952"/>
      <c r="JPT50" s="952"/>
      <c r="JPU50" s="952"/>
      <c r="JPV50" s="952"/>
      <c r="JPW50" s="952"/>
      <c r="JPX50" s="952"/>
      <c r="JPY50" s="952"/>
      <c r="JPZ50" s="952"/>
      <c r="JQA50" s="952"/>
      <c r="JQB50" s="952"/>
      <c r="JQC50" s="952"/>
      <c r="JQD50" s="952"/>
      <c r="JQE50" s="952"/>
      <c r="JQF50" s="952"/>
      <c r="JQG50" s="952"/>
      <c r="JQH50" s="952"/>
      <c r="JQI50" s="952"/>
      <c r="JQJ50" s="952"/>
      <c r="JQK50" s="952"/>
      <c r="JQL50" s="952"/>
      <c r="JQM50" s="952"/>
      <c r="JQN50" s="952"/>
      <c r="JQO50" s="952"/>
      <c r="JQP50" s="952"/>
      <c r="JQQ50" s="952"/>
      <c r="JQR50" s="952"/>
      <c r="JQS50" s="952"/>
      <c r="JQT50" s="952"/>
      <c r="JQU50" s="952"/>
      <c r="JQV50" s="952"/>
      <c r="JQW50" s="952"/>
      <c r="JQX50" s="952"/>
      <c r="JQY50" s="952"/>
      <c r="JQZ50" s="952"/>
      <c r="JRA50" s="952"/>
      <c r="JRB50" s="952"/>
      <c r="JRC50" s="952"/>
      <c r="JRD50" s="952"/>
      <c r="JRE50" s="952"/>
      <c r="JRF50" s="952"/>
      <c r="JRG50" s="952"/>
      <c r="JRH50" s="952"/>
      <c r="JRI50" s="952"/>
      <c r="JRJ50" s="952"/>
      <c r="JRK50" s="952"/>
      <c r="JRL50" s="952"/>
      <c r="JRM50" s="952"/>
      <c r="JRN50" s="952"/>
      <c r="JRO50" s="952"/>
      <c r="JRP50" s="952"/>
      <c r="JRQ50" s="952"/>
      <c r="JRR50" s="952"/>
      <c r="JRS50" s="952"/>
      <c r="JRT50" s="952"/>
      <c r="JRU50" s="952"/>
      <c r="JRV50" s="952"/>
      <c r="JRW50" s="952"/>
      <c r="JRX50" s="952"/>
      <c r="JRY50" s="952"/>
      <c r="JRZ50" s="952"/>
      <c r="JSA50" s="952"/>
      <c r="JSB50" s="952"/>
      <c r="JSC50" s="952"/>
      <c r="JSD50" s="952"/>
      <c r="JSE50" s="952"/>
      <c r="JSF50" s="952"/>
      <c r="JSG50" s="952"/>
      <c r="JSH50" s="952"/>
      <c r="JSI50" s="952"/>
      <c r="JSJ50" s="952"/>
      <c r="JSK50" s="952"/>
      <c r="JSL50" s="952"/>
      <c r="JSM50" s="952"/>
      <c r="JSN50" s="952"/>
      <c r="JSO50" s="952"/>
      <c r="JSP50" s="952"/>
      <c r="JSQ50" s="952"/>
      <c r="JSR50" s="952"/>
      <c r="JSS50" s="952"/>
      <c r="JST50" s="952"/>
      <c r="JSU50" s="952"/>
      <c r="JSV50" s="952"/>
      <c r="JSW50" s="952"/>
      <c r="JSX50" s="952"/>
      <c r="JSY50" s="952"/>
      <c r="JSZ50" s="952"/>
      <c r="JTA50" s="952"/>
      <c r="JTB50" s="952"/>
      <c r="JTC50" s="952"/>
      <c r="JTD50" s="952"/>
      <c r="JTE50" s="952"/>
      <c r="JTF50" s="952"/>
      <c r="JTG50" s="952"/>
      <c r="JTH50" s="952"/>
      <c r="JTI50" s="952"/>
      <c r="JTJ50" s="952"/>
      <c r="JTK50" s="952"/>
      <c r="JTL50" s="952"/>
      <c r="JTM50" s="952"/>
      <c r="JTN50" s="952"/>
      <c r="JTO50" s="952"/>
      <c r="JTP50" s="952"/>
      <c r="JTQ50" s="952"/>
      <c r="JTR50" s="952"/>
      <c r="JTS50" s="952"/>
      <c r="JTT50" s="952"/>
      <c r="JTU50" s="952"/>
      <c r="JTV50" s="952"/>
      <c r="JTW50" s="952"/>
      <c r="JTX50" s="952"/>
      <c r="JTY50" s="952"/>
      <c r="JTZ50" s="952"/>
      <c r="JUA50" s="952"/>
      <c r="JUB50" s="952"/>
      <c r="JUC50" s="952"/>
      <c r="JUD50" s="952"/>
      <c r="JUE50" s="952"/>
      <c r="JUF50" s="952"/>
      <c r="JUG50" s="952"/>
      <c r="JUH50" s="952"/>
      <c r="JUI50" s="952"/>
      <c r="JUJ50" s="952"/>
      <c r="JUK50" s="952"/>
      <c r="JUL50" s="952"/>
      <c r="JUM50" s="952"/>
      <c r="JUN50" s="952"/>
      <c r="JUO50" s="952"/>
      <c r="JUP50" s="952"/>
      <c r="JUQ50" s="952"/>
      <c r="JUR50" s="952"/>
      <c r="JUS50" s="952"/>
      <c r="JUT50" s="952"/>
      <c r="JUU50" s="952"/>
      <c r="JUV50" s="952"/>
      <c r="JUW50" s="952"/>
      <c r="JUX50" s="952"/>
      <c r="JUY50" s="952"/>
      <c r="JUZ50" s="952"/>
      <c r="JVA50" s="952"/>
      <c r="JVB50" s="952"/>
      <c r="JVC50" s="952"/>
      <c r="JVD50" s="952"/>
      <c r="JVE50" s="952"/>
      <c r="JVF50" s="952"/>
      <c r="JVG50" s="952"/>
      <c r="JVH50" s="952"/>
      <c r="JVI50" s="952"/>
      <c r="JVJ50" s="952"/>
      <c r="JVK50" s="952"/>
      <c r="JVL50" s="952"/>
      <c r="JVM50" s="952"/>
      <c r="JVN50" s="952"/>
      <c r="JVO50" s="952"/>
      <c r="JVP50" s="952"/>
      <c r="JVQ50" s="952"/>
      <c r="JVR50" s="952"/>
      <c r="JVS50" s="952"/>
      <c r="JVT50" s="952"/>
      <c r="JVU50" s="952"/>
      <c r="JVV50" s="952"/>
      <c r="JVW50" s="952"/>
      <c r="JVX50" s="952"/>
      <c r="JVY50" s="952"/>
      <c r="JVZ50" s="952"/>
      <c r="JWA50" s="952"/>
      <c r="JWB50" s="952"/>
      <c r="JWC50" s="952"/>
      <c r="JWD50" s="952"/>
      <c r="JWE50" s="952"/>
      <c r="JWF50" s="952"/>
      <c r="JWG50" s="952"/>
      <c r="JWH50" s="952"/>
      <c r="JWI50" s="952"/>
      <c r="JWJ50" s="952"/>
      <c r="JWK50" s="952"/>
      <c r="JWL50" s="952"/>
      <c r="JWM50" s="952"/>
      <c r="JWN50" s="952"/>
      <c r="JWO50" s="952"/>
      <c r="JWP50" s="952"/>
      <c r="JWQ50" s="952"/>
      <c r="JWR50" s="952"/>
      <c r="JWS50" s="952"/>
      <c r="JWT50" s="952"/>
      <c r="JWU50" s="952"/>
      <c r="JWV50" s="952"/>
      <c r="JWW50" s="952"/>
      <c r="JWX50" s="952"/>
      <c r="JWY50" s="952"/>
      <c r="JWZ50" s="952"/>
      <c r="JXA50" s="952"/>
      <c r="JXB50" s="952"/>
      <c r="JXC50" s="952"/>
      <c r="JXD50" s="952"/>
      <c r="JXE50" s="952"/>
      <c r="JXF50" s="952"/>
      <c r="JXG50" s="952"/>
      <c r="JXH50" s="952"/>
      <c r="JXI50" s="952"/>
      <c r="JXJ50" s="952"/>
      <c r="JXK50" s="952"/>
      <c r="JXL50" s="952"/>
      <c r="JXM50" s="952"/>
      <c r="JXN50" s="952"/>
      <c r="JXO50" s="952"/>
      <c r="JXP50" s="952"/>
      <c r="JXQ50" s="952"/>
      <c r="JXR50" s="952"/>
      <c r="JXS50" s="952"/>
      <c r="JXT50" s="952"/>
      <c r="JXU50" s="952"/>
      <c r="JXV50" s="952"/>
      <c r="JXW50" s="952"/>
      <c r="JXX50" s="952"/>
      <c r="JXY50" s="952"/>
      <c r="JXZ50" s="952"/>
      <c r="JYA50" s="952"/>
      <c r="JYB50" s="952"/>
      <c r="JYC50" s="952"/>
      <c r="JYD50" s="952"/>
      <c r="JYE50" s="952"/>
      <c r="JYF50" s="952"/>
      <c r="JYG50" s="952"/>
      <c r="JYH50" s="952"/>
      <c r="JYI50" s="952"/>
      <c r="JYJ50" s="952"/>
      <c r="JYK50" s="952"/>
      <c r="JYL50" s="952"/>
      <c r="JYM50" s="952"/>
      <c r="JYN50" s="952"/>
      <c r="JYO50" s="952"/>
      <c r="JYP50" s="952"/>
      <c r="JYQ50" s="952"/>
      <c r="JYR50" s="952"/>
      <c r="JYS50" s="952"/>
      <c r="JYT50" s="952"/>
      <c r="JYU50" s="952"/>
      <c r="JYV50" s="952"/>
      <c r="JYW50" s="952"/>
      <c r="JYX50" s="952"/>
      <c r="JYY50" s="952"/>
      <c r="JYZ50" s="952"/>
      <c r="JZA50" s="952"/>
      <c r="JZB50" s="952"/>
      <c r="JZC50" s="952"/>
      <c r="JZD50" s="952"/>
      <c r="JZE50" s="952"/>
      <c r="JZF50" s="952"/>
      <c r="JZG50" s="952"/>
      <c r="JZH50" s="952"/>
      <c r="JZI50" s="952"/>
      <c r="JZJ50" s="952"/>
      <c r="JZK50" s="952"/>
      <c r="JZL50" s="952"/>
      <c r="JZM50" s="952"/>
      <c r="JZN50" s="952"/>
      <c r="JZO50" s="952"/>
      <c r="JZP50" s="952"/>
      <c r="JZQ50" s="952"/>
      <c r="JZR50" s="952"/>
      <c r="JZS50" s="952"/>
      <c r="JZT50" s="952"/>
      <c r="JZU50" s="952"/>
      <c r="JZV50" s="952"/>
      <c r="JZW50" s="952"/>
      <c r="JZX50" s="952"/>
      <c r="JZY50" s="952"/>
      <c r="JZZ50" s="952"/>
      <c r="KAA50" s="952"/>
      <c r="KAB50" s="952"/>
      <c r="KAC50" s="952"/>
      <c r="KAD50" s="952"/>
      <c r="KAE50" s="952"/>
      <c r="KAF50" s="952"/>
      <c r="KAG50" s="952"/>
      <c r="KAH50" s="952"/>
      <c r="KAI50" s="952"/>
      <c r="KAJ50" s="952"/>
      <c r="KAK50" s="952"/>
      <c r="KAL50" s="952"/>
      <c r="KAM50" s="952"/>
      <c r="KAN50" s="952"/>
      <c r="KAO50" s="952"/>
      <c r="KAP50" s="952"/>
      <c r="KAQ50" s="952"/>
      <c r="KAR50" s="952"/>
      <c r="KAS50" s="952"/>
      <c r="KAT50" s="952"/>
      <c r="KAU50" s="952"/>
      <c r="KAV50" s="952"/>
      <c r="KAW50" s="952"/>
      <c r="KAX50" s="952"/>
      <c r="KAY50" s="952"/>
      <c r="KAZ50" s="952"/>
      <c r="KBA50" s="952"/>
      <c r="KBB50" s="952"/>
      <c r="KBC50" s="952"/>
      <c r="KBD50" s="952"/>
      <c r="KBE50" s="952"/>
      <c r="KBF50" s="952"/>
      <c r="KBG50" s="952"/>
      <c r="KBH50" s="952"/>
      <c r="KBI50" s="952"/>
      <c r="KBJ50" s="952"/>
      <c r="KBK50" s="952"/>
      <c r="KBL50" s="952"/>
      <c r="KBM50" s="952"/>
      <c r="KBN50" s="952"/>
      <c r="KBO50" s="952"/>
      <c r="KBP50" s="952"/>
      <c r="KBQ50" s="952"/>
      <c r="KBR50" s="952"/>
      <c r="KBS50" s="952"/>
      <c r="KBT50" s="952"/>
      <c r="KBU50" s="952"/>
      <c r="KBV50" s="952"/>
      <c r="KBW50" s="952"/>
      <c r="KBX50" s="952"/>
      <c r="KBY50" s="952"/>
      <c r="KBZ50" s="952"/>
      <c r="KCA50" s="952"/>
      <c r="KCB50" s="952"/>
      <c r="KCC50" s="952"/>
      <c r="KCD50" s="952"/>
      <c r="KCE50" s="952"/>
      <c r="KCF50" s="952"/>
      <c r="KCG50" s="952"/>
      <c r="KCH50" s="952"/>
      <c r="KCI50" s="952"/>
      <c r="KCJ50" s="952"/>
      <c r="KCK50" s="952"/>
      <c r="KCL50" s="952"/>
      <c r="KCM50" s="952"/>
      <c r="KCN50" s="952"/>
      <c r="KCO50" s="952"/>
      <c r="KCP50" s="952"/>
      <c r="KCQ50" s="952"/>
      <c r="KCR50" s="952"/>
      <c r="KCS50" s="952"/>
      <c r="KCT50" s="952"/>
      <c r="KCU50" s="952"/>
      <c r="KCV50" s="952"/>
      <c r="KCW50" s="952"/>
      <c r="KCX50" s="952"/>
      <c r="KCY50" s="952"/>
      <c r="KCZ50" s="952"/>
      <c r="KDA50" s="952"/>
      <c r="KDB50" s="952"/>
      <c r="KDC50" s="952"/>
      <c r="KDD50" s="952"/>
      <c r="KDE50" s="952"/>
      <c r="KDF50" s="952"/>
      <c r="KDG50" s="952"/>
      <c r="KDH50" s="952"/>
      <c r="KDI50" s="952"/>
      <c r="KDJ50" s="952"/>
      <c r="KDK50" s="952"/>
      <c r="KDL50" s="952"/>
      <c r="KDM50" s="952"/>
      <c r="KDN50" s="952"/>
      <c r="KDO50" s="952"/>
      <c r="KDP50" s="952"/>
      <c r="KDQ50" s="952"/>
      <c r="KDR50" s="952"/>
      <c r="KDS50" s="952"/>
      <c r="KDT50" s="952"/>
      <c r="KDU50" s="952"/>
      <c r="KDV50" s="952"/>
      <c r="KDW50" s="952"/>
      <c r="KDX50" s="952"/>
      <c r="KDY50" s="952"/>
      <c r="KDZ50" s="952"/>
      <c r="KEA50" s="952"/>
      <c r="KEB50" s="952"/>
      <c r="KEC50" s="952"/>
      <c r="KED50" s="952"/>
      <c r="KEE50" s="952"/>
      <c r="KEF50" s="952"/>
      <c r="KEG50" s="952"/>
      <c r="KEH50" s="952"/>
      <c r="KEI50" s="952"/>
      <c r="KEJ50" s="952"/>
      <c r="KEK50" s="952"/>
      <c r="KEL50" s="952"/>
      <c r="KEM50" s="952"/>
      <c r="KEN50" s="952"/>
      <c r="KEO50" s="952"/>
      <c r="KEP50" s="952"/>
      <c r="KEQ50" s="952"/>
      <c r="KER50" s="952"/>
      <c r="KES50" s="952"/>
      <c r="KET50" s="952"/>
      <c r="KEU50" s="952"/>
      <c r="KEV50" s="952"/>
      <c r="KEW50" s="952"/>
      <c r="KEX50" s="952"/>
      <c r="KEY50" s="952"/>
      <c r="KEZ50" s="952"/>
      <c r="KFA50" s="952"/>
      <c r="KFB50" s="952"/>
      <c r="KFC50" s="952"/>
      <c r="KFD50" s="952"/>
      <c r="KFE50" s="952"/>
      <c r="KFF50" s="952"/>
      <c r="KFG50" s="952"/>
      <c r="KFH50" s="952"/>
      <c r="KFI50" s="952"/>
      <c r="KFJ50" s="952"/>
      <c r="KFK50" s="952"/>
      <c r="KFL50" s="952"/>
      <c r="KFM50" s="952"/>
      <c r="KFN50" s="952"/>
      <c r="KFO50" s="952"/>
      <c r="KFP50" s="952"/>
      <c r="KFQ50" s="952"/>
      <c r="KFR50" s="952"/>
      <c r="KFS50" s="952"/>
      <c r="KFT50" s="952"/>
      <c r="KFU50" s="952"/>
      <c r="KFV50" s="952"/>
      <c r="KFW50" s="952"/>
      <c r="KFX50" s="952"/>
      <c r="KFY50" s="952"/>
      <c r="KFZ50" s="952"/>
      <c r="KGA50" s="952"/>
      <c r="KGB50" s="952"/>
      <c r="KGC50" s="952"/>
      <c r="KGD50" s="952"/>
      <c r="KGE50" s="952"/>
      <c r="KGF50" s="952"/>
      <c r="KGG50" s="952"/>
      <c r="KGH50" s="952"/>
      <c r="KGI50" s="952"/>
      <c r="KGJ50" s="952"/>
      <c r="KGK50" s="952"/>
      <c r="KGL50" s="952"/>
      <c r="KGM50" s="952"/>
      <c r="KGN50" s="952"/>
      <c r="KGO50" s="952"/>
      <c r="KGP50" s="952"/>
      <c r="KGQ50" s="952"/>
      <c r="KGR50" s="952"/>
      <c r="KGS50" s="952"/>
      <c r="KGT50" s="952"/>
      <c r="KGU50" s="952"/>
      <c r="KGV50" s="952"/>
      <c r="KGW50" s="952"/>
      <c r="KGX50" s="952"/>
      <c r="KGY50" s="952"/>
      <c r="KGZ50" s="952"/>
      <c r="KHA50" s="952"/>
      <c r="KHB50" s="952"/>
      <c r="KHC50" s="952"/>
      <c r="KHD50" s="952"/>
      <c r="KHE50" s="952"/>
      <c r="KHF50" s="952"/>
      <c r="KHG50" s="952"/>
      <c r="KHH50" s="952"/>
      <c r="KHI50" s="952"/>
      <c r="KHJ50" s="952"/>
      <c r="KHK50" s="952"/>
      <c r="KHL50" s="952"/>
      <c r="KHM50" s="952"/>
      <c r="KHN50" s="952"/>
      <c r="KHO50" s="952"/>
      <c r="KHP50" s="952"/>
      <c r="KHQ50" s="952"/>
      <c r="KHR50" s="952"/>
      <c r="KHS50" s="952"/>
      <c r="KHT50" s="952"/>
      <c r="KHU50" s="952"/>
      <c r="KHV50" s="952"/>
      <c r="KHW50" s="952"/>
      <c r="KHX50" s="952"/>
      <c r="KHY50" s="952"/>
      <c r="KHZ50" s="952"/>
      <c r="KIA50" s="952"/>
      <c r="KIB50" s="952"/>
      <c r="KIC50" s="952"/>
      <c r="KID50" s="952"/>
      <c r="KIE50" s="952"/>
      <c r="KIF50" s="952"/>
      <c r="KIG50" s="952"/>
      <c r="KIH50" s="952"/>
      <c r="KII50" s="952"/>
      <c r="KIJ50" s="952"/>
      <c r="KIK50" s="952"/>
      <c r="KIL50" s="952"/>
      <c r="KIM50" s="952"/>
      <c r="KIN50" s="952"/>
      <c r="KIO50" s="952"/>
      <c r="KIP50" s="952"/>
      <c r="KIQ50" s="952"/>
      <c r="KIR50" s="952"/>
      <c r="KIS50" s="952"/>
      <c r="KIT50" s="952"/>
      <c r="KIU50" s="952"/>
      <c r="KIV50" s="952"/>
      <c r="KIW50" s="952"/>
      <c r="KIX50" s="952"/>
      <c r="KIY50" s="952"/>
      <c r="KIZ50" s="952"/>
      <c r="KJA50" s="952"/>
      <c r="KJB50" s="952"/>
      <c r="KJC50" s="952"/>
      <c r="KJD50" s="952"/>
      <c r="KJE50" s="952"/>
      <c r="KJF50" s="952"/>
      <c r="KJG50" s="952"/>
      <c r="KJH50" s="952"/>
      <c r="KJI50" s="952"/>
      <c r="KJJ50" s="952"/>
      <c r="KJK50" s="952"/>
      <c r="KJL50" s="952"/>
      <c r="KJM50" s="952"/>
      <c r="KJN50" s="952"/>
      <c r="KJO50" s="952"/>
      <c r="KJP50" s="952"/>
      <c r="KJQ50" s="952"/>
      <c r="KJR50" s="952"/>
      <c r="KJS50" s="952"/>
      <c r="KJT50" s="952"/>
      <c r="KJU50" s="952"/>
      <c r="KJV50" s="952"/>
      <c r="KJW50" s="952"/>
      <c r="KJX50" s="952"/>
      <c r="KJY50" s="952"/>
      <c r="KJZ50" s="952"/>
      <c r="KKA50" s="952"/>
      <c r="KKB50" s="952"/>
      <c r="KKC50" s="952"/>
      <c r="KKD50" s="952"/>
      <c r="KKE50" s="952"/>
      <c r="KKF50" s="952"/>
      <c r="KKG50" s="952"/>
      <c r="KKH50" s="952"/>
      <c r="KKI50" s="952"/>
      <c r="KKJ50" s="952"/>
      <c r="KKK50" s="952"/>
      <c r="KKL50" s="952"/>
      <c r="KKM50" s="952"/>
      <c r="KKN50" s="952"/>
      <c r="KKO50" s="952"/>
      <c r="KKP50" s="952"/>
      <c r="KKQ50" s="952"/>
      <c r="KKR50" s="952"/>
      <c r="KKS50" s="952"/>
      <c r="KKT50" s="952"/>
      <c r="KKU50" s="952"/>
      <c r="KKV50" s="952"/>
      <c r="KKW50" s="952"/>
      <c r="KKX50" s="952"/>
      <c r="KKY50" s="952"/>
      <c r="KKZ50" s="952"/>
      <c r="KLA50" s="952"/>
      <c r="KLB50" s="952"/>
      <c r="KLC50" s="952"/>
      <c r="KLD50" s="952"/>
      <c r="KLE50" s="952"/>
      <c r="KLF50" s="952"/>
      <c r="KLG50" s="952"/>
      <c r="KLH50" s="952"/>
      <c r="KLI50" s="952"/>
      <c r="KLJ50" s="952"/>
      <c r="KLK50" s="952"/>
      <c r="KLL50" s="952"/>
      <c r="KLM50" s="952"/>
      <c r="KLN50" s="952"/>
      <c r="KLO50" s="952"/>
      <c r="KLP50" s="952"/>
      <c r="KLQ50" s="952"/>
      <c r="KLR50" s="952"/>
      <c r="KLS50" s="952"/>
      <c r="KLT50" s="952"/>
      <c r="KLU50" s="952"/>
      <c r="KLV50" s="952"/>
      <c r="KLW50" s="952"/>
      <c r="KLX50" s="952"/>
      <c r="KLY50" s="952"/>
      <c r="KLZ50" s="952"/>
      <c r="KMA50" s="952"/>
      <c r="KMB50" s="952"/>
      <c r="KMC50" s="952"/>
      <c r="KMD50" s="952"/>
      <c r="KME50" s="952"/>
      <c r="KMF50" s="952"/>
      <c r="KMG50" s="952"/>
      <c r="KMH50" s="952"/>
      <c r="KMI50" s="952"/>
      <c r="KMJ50" s="952"/>
      <c r="KMK50" s="952"/>
      <c r="KML50" s="952"/>
      <c r="KMM50" s="952"/>
      <c r="KMN50" s="952"/>
      <c r="KMO50" s="952"/>
      <c r="KMP50" s="952"/>
      <c r="KMQ50" s="952"/>
      <c r="KMR50" s="952"/>
      <c r="KMS50" s="952"/>
      <c r="KMT50" s="952"/>
      <c r="KMU50" s="952"/>
      <c r="KMV50" s="952"/>
      <c r="KMW50" s="952"/>
      <c r="KMX50" s="952"/>
      <c r="KMY50" s="952"/>
      <c r="KMZ50" s="952"/>
      <c r="KNA50" s="952"/>
      <c r="KNB50" s="952"/>
      <c r="KNC50" s="952"/>
      <c r="KND50" s="952"/>
      <c r="KNE50" s="952"/>
      <c r="KNF50" s="952"/>
      <c r="KNG50" s="952"/>
      <c r="KNH50" s="952"/>
      <c r="KNI50" s="952"/>
      <c r="KNJ50" s="952"/>
      <c r="KNK50" s="952"/>
      <c r="KNL50" s="952"/>
      <c r="KNM50" s="952"/>
      <c r="KNN50" s="952"/>
      <c r="KNO50" s="952"/>
      <c r="KNP50" s="952"/>
      <c r="KNQ50" s="952"/>
      <c r="KNR50" s="952"/>
      <c r="KNS50" s="952"/>
      <c r="KNT50" s="952"/>
      <c r="KNU50" s="952"/>
      <c r="KNV50" s="952"/>
      <c r="KNW50" s="952"/>
      <c r="KNX50" s="952"/>
      <c r="KNY50" s="952"/>
      <c r="KNZ50" s="952"/>
      <c r="KOA50" s="952"/>
      <c r="KOB50" s="952"/>
      <c r="KOC50" s="952"/>
      <c r="KOD50" s="952"/>
      <c r="KOE50" s="952"/>
      <c r="KOF50" s="952"/>
      <c r="KOG50" s="952"/>
      <c r="KOH50" s="952"/>
      <c r="KOI50" s="952"/>
      <c r="KOJ50" s="952"/>
      <c r="KOK50" s="952"/>
      <c r="KOL50" s="952"/>
      <c r="KOM50" s="952"/>
      <c r="KON50" s="952"/>
      <c r="KOO50" s="952"/>
      <c r="KOP50" s="952"/>
      <c r="KOQ50" s="952"/>
      <c r="KOR50" s="952"/>
      <c r="KOS50" s="952"/>
      <c r="KOT50" s="952"/>
      <c r="KOU50" s="952"/>
      <c r="KOV50" s="952"/>
      <c r="KOW50" s="952"/>
      <c r="KOX50" s="952"/>
      <c r="KOY50" s="952"/>
      <c r="KOZ50" s="952"/>
      <c r="KPA50" s="952"/>
      <c r="KPB50" s="952"/>
      <c r="KPC50" s="952"/>
      <c r="KPD50" s="952"/>
      <c r="KPE50" s="952"/>
      <c r="KPF50" s="952"/>
      <c r="KPG50" s="952"/>
      <c r="KPH50" s="952"/>
      <c r="KPI50" s="952"/>
      <c r="KPJ50" s="952"/>
      <c r="KPK50" s="952"/>
      <c r="KPL50" s="952"/>
      <c r="KPM50" s="952"/>
      <c r="KPN50" s="952"/>
      <c r="KPO50" s="952"/>
      <c r="KPP50" s="952"/>
      <c r="KPQ50" s="952"/>
      <c r="KPR50" s="952"/>
      <c r="KPS50" s="952"/>
      <c r="KPT50" s="952"/>
      <c r="KPU50" s="952"/>
      <c r="KPV50" s="952"/>
      <c r="KPW50" s="952"/>
      <c r="KPX50" s="952"/>
      <c r="KPY50" s="952"/>
      <c r="KPZ50" s="952"/>
      <c r="KQA50" s="952"/>
      <c r="KQB50" s="952"/>
      <c r="KQC50" s="952"/>
      <c r="KQD50" s="952"/>
      <c r="KQE50" s="952"/>
      <c r="KQF50" s="952"/>
      <c r="KQG50" s="952"/>
      <c r="KQH50" s="952"/>
      <c r="KQI50" s="952"/>
      <c r="KQJ50" s="952"/>
      <c r="KQK50" s="952"/>
      <c r="KQL50" s="952"/>
      <c r="KQM50" s="952"/>
      <c r="KQN50" s="952"/>
      <c r="KQO50" s="952"/>
      <c r="KQP50" s="952"/>
      <c r="KQQ50" s="952"/>
      <c r="KQR50" s="952"/>
      <c r="KQS50" s="952"/>
      <c r="KQT50" s="952"/>
      <c r="KQU50" s="952"/>
      <c r="KQV50" s="952"/>
      <c r="KQW50" s="952"/>
      <c r="KQX50" s="952"/>
      <c r="KQY50" s="952"/>
      <c r="KQZ50" s="952"/>
      <c r="KRA50" s="952"/>
      <c r="KRB50" s="952"/>
      <c r="KRC50" s="952"/>
      <c r="KRD50" s="952"/>
      <c r="KRE50" s="952"/>
      <c r="KRF50" s="952"/>
      <c r="KRG50" s="952"/>
      <c r="KRH50" s="952"/>
      <c r="KRI50" s="952"/>
      <c r="KRJ50" s="952"/>
      <c r="KRK50" s="952"/>
      <c r="KRL50" s="952"/>
      <c r="KRM50" s="952"/>
      <c r="KRN50" s="952"/>
      <c r="KRO50" s="952"/>
      <c r="KRP50" s="952"/>
      <c r="KRQ50" s="952"/>
      <c r="KRR50" s="952"/>
      <c r="KRS50" s="952"/>
      <c r="KRT50" s="952"/>
      <c r="KRU50" s="952"/>
      <c r="KRV50" s="952"/>
      <c r="KRW50" s="952"/>
      <c r="KRX50" s="952"/>
      <c r="KRY50" s="952"/>
      <c r="KRZ50" s="952"/>
      <c r="KSA50" s="952"/>
      <c r="KSB50" s="952"/>
      <c r="KSC50" s="952"/>
      <c r="KSD50" s="952"/>
      <c r="KSE50" s="952"/>
      <c r="KSF50" s="952"/>
      <c r="KSG50" s="952"/>
      <c r="KSH50" s="952"/>
      <c r="KSI50" s="952"/>
      <c r="KSJ50" s="952"/>
      <c r="KSK50" s="952"/>
      <c r="KSL50" s="952"/>
      <c r="KSM50" s="952"/>
      <c r="KSN50" s="952"/>
      <c r="KSO50" s="952"/>
      <c r="KSP50" s="952"/>
      <c r="KSQ50" s="952"/>
      <c r="KSR50" s="952"/>
      <c r="KSS50" s="952"/>
      <c r="KST50" s="952"/>
      <c r="KSU50" s="952"/>
      <c r="KSV50" s="952"/>
      <c r="KSW50" s="952"/>
      <c r="KSX50" s="952"/>
      <c r="KSY50" s="952"/>
      <c r="KSZ50" s="952"/>
      <c r="KTA50" s="952"/>
      <c r="KTB50" s="952"/>
      <c r="KTC50" s="952"/>
      <c r="KTD50" s="952"/>
      <c r="KTE50" s="952"/>
      <c r="KTF50" s="952"/>
      <c r="KTG50" s="952"/>
      <c r="KTH50" s="952"/>
      <c r="KTI50" s="952"/>
      <c r="KTJ50" s="952"/>
      <c r="KTK50" s="952"/>
      <c r="KTL50" s="952"/>
      <c r="KTM50" s="952"/>
      <c r="KTN50" s="952"/>
      <c r="KTO50" s="952"/>
      <c r="KTP50" s="952"/>
      <c r="KTQ50" s="952"/>
      <c r="KTR50" s="952"/>
      <c r="KTS50" s="952"/>
      <c r="KTT50" s="952"/>
      <c r="KTU50" s="952"/>
      <c r="KTV50" s="952"/>
      <c r="KTW50" s="952"/>
      <c r="KTX50" s="952"/>
      <c r="KTY50" s="952"/>
      <c r="KTZ50" s="952"/>
      <c r="KUA50" s="952"/>
      <c r="KUB50" s="952"/>
      <c r="KUC50" s="952"/>
      <c r="KUD50" s="952"/>
      <c r="KUE50" s="952"/>
      <c r="KUF50" s="952"/>
      <c r="KUG50" s="952"/>
      <c r="KUH50" s="952"/>
      <c r="KUI50" s="952"/>
      <c r="KUJ50" s="952"/>
      <c r="KUK50" s="952"/>
      <c r="KUL50" s="952"/>
      <c r="KUM50" s="952"/>
      <c r="KUN50" s="952"/>
      <c r="KUO50" s="952"/>
      <c r="KUP50" s="952"/>
      <c r="KUQ50" s="952"/>
      <c r="KUR50" s="952"/>
      <c r="KUS50" s="952"/>
      <c r="KUT50" s="952"/>
      <c r="KUU50" s="952"/>
      <c r="KUV50" s="952"/>
      <c r="KUW50" s="952"/>
      <c r="KUX50" s="952"/>
      <c r="KUY50" s="952"/>
      <c r="KUZ50" s="952"/>
      <c r="KVA50" s="952"/>
      <c r="KVB50" s="952"/>
      <c r="KVC50" s="952"/>
      <c r="KVD50" s="952"/>
      <c r="KVE50" s="952"/>
      <c r="KVF50" s="952"/>
      <c r="KVG50" s="952"/>
      <c r="KVH50" s="952"/>
      <c r="KVI50" s="952"/>
      <c r="KVJ50" s="952"/>
      <c r="KVK50" s="952"/>
      <c r="KVL50" s="952"/>
      <c r="KVM50" s="952"/>
      <c r="KVN50" s="952"/>
      <c r="KVO50" s="952"/>
      <c r="KVP50" s="952"/>
      <c r="KVQ50" s="952"/>
      <c r="KVR50" s="952"/>
      <c r="KVS50" s="952"/>
      <c r="KVT50" s="952"/>
      <c r="KVU50" s="952"/>
      <c r="KVV50" s="952"/>
      <c r="KVW50" s="952"/>
      <c r="KVX50" s="952"/>
      <c r="KVY50" s="952"/>
      <c r="KVZ50" s="952"/>
      <c r="KWA50" s="952"/>
      <c r="KWB50" s="952"/>
      <c r="KWC50" s="952"/>
      <c r="KWD50" s="952"/>
      <c r="KWE50" s="952"/>
      <c r="KWF50" s="952"/>
      <c r="KWG50" s="952"/>
      <c r="KWH50" s="952"/>
      <c r="KWI50" s="952"/>
      <c r="KWJ50" s="952"/>
      <c r="KWK50" s="952"/>
      <c r="KWL50" s="952"/>
      <c r="KWM50" s="952"/>
      <c r="KWN50" s="952"/>
      <c r="KWO50" s="952"/>
      <c r="KWP50" s="952"/>
      <c r="KWQ50" s="952"/>
      <c r="KWR50" s="952"/>
      <c r="KWS50" s="952"/>
      <c r="KWT50" s="952"/>
      <c r="KWU50" s="952"/>
      <c r="KWV50" s="952"/>
      <c r="KWW50" s="952"/>
      <c r="KWX50" s="952"/>
      <c r="KWY50" s="952"/>
      <c r="KWZ50" s="952"/>
      <c r="KXA50" s="952"/>
      <c r="KXB50" s="952"/>
      <c r="KXC50" s="952"/>
      <c r="KXD50" s="952"/>
      <c r="KXE50" s="952"/>
      <c r="KXF50" s="952"/>
      <c r="KXG50" s="952"/>
      <c r="KXH50" s="952"/>
      <c r="KXI50" s="952"/>
      <c r="KXJ50" s="952"/>
      <c r="KXK50" s="952"/>
      <c r="KXL50" s="952"/>
      <c r="KXM50" s="952"/>
      <c r="KXN50" s="952"/>
      <c r="KXO50" s="952"/>
      <c r="KXP50" s="952"/>
      <c r="KXQ50" s="952"/>
      <c r="KXR50" s="952"/>
      <c r="KXS50" s="952"/>
      <c r="KXT50" s="952"/>
      <c r="KXU50" s="952"/>
      <c r="KXV50" s="952"/>
      <c r="KXW50" s="952"/>
      <c r="KXX50" s="952"/>
      <c r="KXY50" s="952"/>
      <c r="KXZ50" s="952"/>
      <c r="KYA50" s="952"/>
      <c r="KYB50" s="952"/>
      <c r="KYC50" s="952"/>
      <c r="KYD50" s="952"/>
      <c r="KYE50" s="952"/>
      <c r="KYF50" s="952"/>
      <c r="KYG50" s="952"/>
      <c r="KYH50" s="952"/>
      <c r="KYI50" s="952"/>
      <c r="KYJ50" s="952"/>
      <c r="KYK50" s="952"/>
      <c r="KYL50" s="952"/>
      <c r="KYM50" s="952"/>
      <c r="KYN50" s="952"/>
      <c r="KYO50" s="952"/>
      <c r="KYP50" s="952"/>
      <c r="KYQ50" s="952"/>
      <c r="KYR50" s="952"/>
      <c r="KYS50" s="952"/>
      <c r="KYT50" s="952"/>
      <c r="KYU50" s="952"/>
      <c r="KYV50" s="952"/>
      <c r="KYW50" s="952"/>
      <c r="KYX50" s="952"/>
      <c r="KYY50" s="952"/>
      <c r="KYZ50" s="952"/>
      <c r="KZA50" s="952"/>
      <c r="KZB50" s="952"/>
      <c r="KZC50" s="952"/>
      <c r="KZD50" s="952"/>
      <c r="KZE50" s="952"/>
      <c r="KZF50" s="952"/>
      <c r="KZG50" s="952"/>
      <c r="KZH50" s="952"/>
      <c r="KZI50" s="952"/>
      <c r="KZJ50" s="952"/>
      <c r="KZK50" s="952"/>
      <c r="KZL50" s="952"/>
      <c r="KZM50" s="952"/>
      <c r="KZN50" s="952"/>
      <c r="KZO50" s="952"/>
      <c r="KZP50" s="952"/>
      <c r="KZQ50" s="952"/>
      <c r="KZR50" s="952"/>
      <c r="KZS50" s="952"/>
      <c r="KZT50" s="952"/>
      <c r="KZU50" s="952"/>
      <c r="KZV50" s="952"/>
      <c r="KZW50" s="952"/>
      <c r="KZX50" s="952"/>
      <c r="KZY50" s="952"/>
      <c r="KZZ50" s="952"/>
      <c r="LAA50" s="952"/>
      <c r="LAB50" s="952"/>
      <c r="LAC50" s="952"/>
      <c r="LAD50" s="952"/>
      <c r="LAE50" s="952"/>
      <c r="LAF50" s="952"/>
      <c r="LAG50" s="952"/>
      <c r="LAH50" s="952"/>
      <c r="LAI50" s="952"/>
      <c r="LAJ50" s="952"/>
      <c r="LAK50" s="952"/>
      <c r="LAL50" s="952"/>
      <c r="LAM50" s="952"/>
      <c r="LAN50" s="952"/>
      <c r="LAO50" s="952"/>
      <c r="LAP50" s="952"/>
      <c r="LAQ50" s="952"/>
      <c r="LAR50" s="952"/>
      <c r="LAS50" s="952"/>
      <c r="LAT50" s="952"/>
      <c r="LAU50" s="952"/>
      <c r="LAV50" s="952"/>
      <c r="LAW50" s="952"/>
      <c r="LAX50" s="952"/>
      <c r="LAY50" s="952"/>
      <c r="LAZ50" s="952"/>
      <c r="LBA50" s="952"/>
      <c r="LBB50" s="952"/>
      <c r="LBC50" s="952"/>
      <c r="LBD50" s="952"/>
      <c r="LBE50" s="952"/>
      <c r="LBF50" s="952"/>
      <c r="LBG50" s="952"/>
      <c r="LBH50" s="952"/>
      <c r="LBI50" s="952"/>
      <c r="LBJ50" s="952"/>
      <c r="LBK50" s="952"/>
      <c r="LBL50" s="952"/>
      <c r="LBM50" s="952"/>
      <c r="LBN50" s="952"/>
      <c r="LBO50" s="952"/>
      <c r="LBP50" s="952"/>
      <c r="LBQ50" s="952"/>
      <c r="LBR50" s="952"/>
      <c r="LBS50" s="952"/>
      <c r="LBT50" s="952"/>
      <c r="LBU50" s="952"/>
      <c r="LBV50" s="952"/>
      <c r="LBW50" s="952"/>
      <c r="LBX50" s="952"/>
      <c r="LBY50" s="952"/>
      <c r="LBZ50" s="952"/>
      <c r="LCA50" s="952"/>
      <c r="LCB50" s="952"/>
      <c r="LCC50" s="952"/>
      <c r="LCD50" s="952"/>
      <c r="LCE50" s="952"/>
      <c r="LCF50" s="952"/>
      <c r="LCG50" s="952"/>
      <c r="LCH50" s="952"/>
      <c r="LCI50" s="952"/>
      <c r="LCJ50" s="952"/>
      <c r="LCK50" s="952"/>
      <c r="LCL50" s="952"/>
      <c r="LCM50" s="952"/>
      <c r="LCN50" s="952"/>
      <c r="LCO50" s="952"/>
      <c r="LCP50" s="952"/>
      <c r="LCQ50" s="952"/>
      <c r="LCR50" s="952"/>
      <c r="LCS50" s="952"/>
      <c r="LCT50" s="952"/>
      <c r="LCU50" s="952"/>
      <c r="LCV50" s="952"/>
      <c r="LCW50" s="952"/>
      <c r="LCX50" s="952"/>
      <c r="LCY50" s="952"/>
      <c r="LCZ50" s="952"/>
      <c r="LDA50" s="952"/>
      <c r="LDB50" s="952"/>
      <c r="LDC50" s="952"/>
      <c r="LDD50" s="952"/>
      <c r="LDE50" s="952"/>
      <c r="LDF50" s="952"/>
      <c r="LDG50" s="952"/>
      <c r="LDH50" s="952"/>
      <c r="LDI50" s="952"/>
      <c r="LDJ50" s="952"/>
      <c r="LDK50" s="952"/>
      <c r="LDL50" s="952"/>
      <c r="LDM50" s="952"/>
      <c r="LDN50" s="952"/>
      <c r="LDO50" s="952"/>
      <c r="LDP50" s="952"/>
      <c r="LDQ50" s="952"/>
      <c r="LDR50" s="952"/>
      <c r="LDS50" s="952"/>
      <c r="LDT50" s="952"/>
      <c r="LDU50" s="952"/>
      <c r="LDV50" s="952"/>
      <c r="LDW50" s="952"/>
      <c r="LDX50" s="952"/>
      <c r="LDY50" s="952"/>
      <c r="LDZ50" s="952"/>
      <c r="LEA50" s="952"/>
      <c r="LEB50" s="952"/>
      <c r="LEC50" s="952"/>
      <c r="LED50" s="952"/>
      <c r="LEE50" s="952"/>
      <c r="LEF50" s="952"/>
      <c r="LEG50" s="952"/>
      <c r="LEH50" s="952"/>
      <c r="LEI50" s="952"/>
      <c r="LEJ50" s="952"/>
      <c r="LEK50" s="952"/>
      <c r="LEL50" s="952"/>
      <c r="LEM50" s="952"/>
      <c r="LEN50" s="952"/>
      <c r="LEO50" s="952"/>
      <c r="LEP50" s="952"/>
      <c r="LEQ50" s="952"/>
      <c r="LER50" s="952"/>
      <c r="LES50" s="952"/>
      <c r="LET50" s="952"/>
      <c r="LEU50" s="952"/>
      <c r="LEV50" s="952"/>
      <c r="LEW50" s="952"/>
      <c r="LEX50" s="952"/>
      <c r="LEY50" s="952"/>
      <c r="LEZ50" s="952"/>
      <c r="LFA50" s="952"/>
      <c r="LFB50" s="952"/>
      <c r="LFC50" s="952"/>
      <c r="LFD50" s="952"/>
      <c r="LFE50" s="952"/>
      <c r="LFF50" s="952"/>
      <c r="LFG50" s="952"/>
      <c r="LFH50" s="952"/>
      <c r="LFI50" s="952"/>
      <c r="LFJ50" s="952"/>
      <c r="LFK50" s="952"/>
      <c r="LFL50" s="952"/>
      <c r="LFM50" s="952"/>
      <c r="LFN50" s="952"/>
      <c r="LFO50" s="952"/>
      <c r="LFP50" s="952"/>
      <c r="LFQ50" s="952"/>
      <c r="LFR50" s="952"/>
      <c r="LFS50" s="952"/>
      <c r="LFT50" s="952"/>
      <c r="LFU50" s="952"/>
      <c r="LFV50" s="952"/>
      <c r="LFW50" s="952"/>
      <c r="LFX50" s="952"/>
      <c r="LFY50" s="952"/>
      <c r="LFZ50" s="952"/>
      <c r="LGA50" s="952"/>
      <c r="LGB50" s="952"/>
      <c r="LGC50" s="952"/>
      <c r="LGD50" s="952"/>
      <c r="LGE50" s="952"/>
      <c r="LGF50" s="952"/>
      <c r="LGG50" s="952"/>
      <c r="LGH50" s="952"/>
      <c r="LGI50" s="952"/>
      <c r="LGJ50" s="952"/>
      <c r="LGK50" s="952"/>
      <c r="LGL50" s="952"/>
      <c r="LGM50" s="952"/>
      <c r="LGN50" s="952"/>
      <c r="LGO50" s="952"/>
      <c r="LGP50" s="952"/>
      <c r="LGQ50" s="952"/>
      <c r="LGR50" s="952"/>
      <c r="LGS50" s="952"/>
      <c r="LGT50" s="952"/>
      <c r="LGU50" s="952"/>
      <c r="LGV50" s="952"/>
      <c r="LGW50" s="952"/>
      <c r="LGX50" s="952"/>
      <c r="LGY50" s="952"/>
      <c r="LGZ50" s="952"/>
      <c r="LHA50" s="952"/>
      <c r="LHB50" s="952"/>
      <c r="LHC50" s="952"/>
      <c r="LHD50" s="952"/>
      <c r="LHE50" s="952"/>
      <c r="LHF50" s="952"/>
      <c r="LHG50" s="952"/>
      <c r="LHH50" s="952"/>
      <c r="LHI50" s="952"/>
      <c r="LHJ50" s="952"/>
      <c r="LHK50" s="952"/>
      <c r="LHL50" s="952"/>
      <c r="LHM50" s="952"/>
      <c r="LHN50" s="952"/>
      <c r="LHO50" s="952"/>
      <c r="LHP50" s="952"/>
      <c r="LHQ50" s="952"/>
      <c r="LHR50" s="952"/>
      <c r="LHS50" s="952"/>
      <c r="LHT50" s="952"/>
      <c r="LHU50" s="952"/>
      <c r="LHV50" s="952"/>
      <c r="LHW50" s="952"/>
      <c r="LHX50" s="952"/>
      <c r="LHY50" s="952"/>
      <c r="LHZ50" s="952"/>
      <c r="LIA50" s="952"/>
      <c r="LIB50" s="952"/>
      <c r="LIC50" s="952"/>
      <c r="LID50" s="952"/>
      <c r="LIE50" s="952"/>
      <c r="LIF50" s="952"/>
      <c r="LIG50" s="952"/>
      <c r="LIH50" s="952"/>
      <c r="LII50" s="952"/>
      <c r="LIJ50" s="952"/>
      <c r="LIK50" s="952"/>
      <c r="LIL50" s="952"/>
      <c r="LIM50" s="952"/>
      <c r="LIN50" s="952"/>
      <c r="LIO50" s="952"/>
      <c r="LIP50" s="952"/>
      <c r="LIQ50" s="952"/>
      <c r="LIR50" s="952"/>
      <c r="LIS50" s="952"/>
      <c r="LIT50" s="952"/>
      <c r="LIU50" s="952"/>
      <c r="LIV50" s="952"/>
      <c r="LIW50" s="952"/>
      <c r="LIX50" s="952"/>
      <c r="LIY50" s="952"/>
      <c r="LIZ50" s="952"/>
      <c r="LJA50" s="952"/>
      <c r="LJB50" s="952"/>
      <c r="LJC50" s="952"/>
      <c r="LJD50" s="952"/>
      <c r="LJE50" s="952"/>
      <c r="LJF50" s="952"/>
      <c r="LJG50" s="952"/>
      <c r="LJH50" s="952"/>
      <c r="LJI50" s="952"/>
      <c r="LJJ50" s="952"/>
      <c r="LJK50" s="952"/>
      <c r="LJL50" s="952"/>
      <c r="LJM50" s="952"/>
      <c r="LJN50" s="952"/>
      <c r="LJO50" s="952"/>
      <c r="LJP50" s="952"/>
      <c r="LJQ50" s="952"/>
      <c r="LJR50" s="952"/>
      <c r="LJS50" s="952"/>
      <c r="LJT50" s="952"/>
      <c r="LJU50" s="952"/>
      <c r="LJV50" s="952"/>
      <c r="LJW50" s="952"/>
      <c r="LJX50" s="952"/>
      <c r="LJY50" s="952"/>
      <c r="LJZ50" s="952"/>
      <c r="LKA50" s="952"/>
      <c r="LKB50" s="952"/>
      <c r="LKC50" s="952"/>
      <c r="LKD50" s="952"/>
      <c r="LKE50" s="952"/>
      <c r="LKF50" s="952"/>
      <c r="LKG50" s="952"/>
      <c r="LKH50" s="952"/>
      <c r="LKI50" s="952"/>
      <c r="LKJ50" s="952"/>
      <c r="LKK50" s="952"/>
      <c r="LKL50" s="952"/>
      <c r="LKM50" s="952"/>
      <c r="LKN50" s="952"/>
      <c r="LKO50" s="952"/>
      <c r="LKP50" s="952"/>
      <c r="LKQ50" s="952"/>
      <c r="LKR50" s="952"/>
      <c r="LKS50" s="952"/>
      <c r="LKT50" s="952"/>
      <c r="LKU50" s="952"/>
      <c r="LKV50" s="952"/>
      <c r="LKW50" s="952"/>
      <c r="LKX50" s="952"/>
      <c r="LKY50" s="952"/>
      <c r="LKZ50" s="952"/>
      <c r="LLA50" s="952"/>
      <c r="LLB50" s="952"/>
      <c r="LLC50" s="952"/>
      <c r="LLD50" s="952"/>
      <c r="LLE50" s="952"/>
      <c r="LLF50" s="952"/>
      <c r="LLG50" s="952"/>
      <c r="LLH50" s="952"/>
      <c r="LLI50" s="952"/>
      <c r="LLJ50" s="952"/>
      <c r="LLK50" s="952"/>
      <c r="LLL50" s="952"/>
      <c r="LLM50" s="952"/>
      <c r="LLN50" s="952"/>
      <c r="LLO50" s="952"/>
      <c r="LLP50" s="952"/>
      <c r="LLQ50" s="952"/>
      <c r="LLR50" s="952"/>
      <c r="LLS50" s="952"/>
      <c r="LLT50" s="952"/>
      <c r="LLU50" s="952"/>
      <c r="LLV50" s="952"/>
      <c r="LLW50" s="952"/>
      <c r="LLX50" s="952"/>
      <c r="LLY50" s="952"/>
      <c r="LLZ50" s="952"/>
      <c r="LMA50" s="952"/>
      <c r="LMB50" s="952"/>
      <c r="LMC50" s="952"/>
      <c r="LMD50" s="952"/>
      <c r="LME50" s="952"/>
      <c r="LMF50" s="952"/>
      <c r="LMG50" s="952"/>
      <c r="LMH50" s="952"/>
      <c r="LMI50" s="952"/>
      <c r="LMJ50" s="952"/>
      <c r="LMK50" s="952"/>
      <c r="LML50" s="952"/>
      <c r="LMM50" s="952"/>
      <c r="LMN50" s="952"/>
      <c r="LMO50" s="952"/>
      <c r="LMP50" s="952"/>
      <c r="LMQ50" s="952"/>
      <c r="LMR50" s="952"/>
      <c r="LMS50" s="952"/>
      <c r="LMT50" s="952"/>
      <c r="LMU50" s="952"/>
      <c r="LMV50" s="952"/>
      <c r="LMW50" s="952"/>
      <c r="LMX50" s="952"/>
      <c r="LMY50" s="952"/>
      <c r="LMZ50" s="952"/>
      <c r="LNA50" s="952"/>
      <c r="LNB50" s="952"/>
      <c r="LNC50" s="952"/>
      <c r="LND50" s="952"/>
      <c r="LNE50" s="952"/>
      <c r="LNF50" s="952"/>
      <c r="LNG50" s="952"/>
      <c r="LNH50" s="952"/>
      <c r="LNI50" s="952"/>
      <c r="LNJ50" s="952"/>
      <c r="LNK50" s="952"/>
      <c r="LNL50" s="952"/>
      <c r="LNM50" s="952"/>
      <c r="LNN50" s="952"/>
      <c r="LNO50" s="952"/>
      <c r="LNP50" s="952"/>
      <c r="LNQ50" s="952"/>
      <c r="LNR50" s="952"/>
      <c r="LNS50" s="952"/>
      <c r="LNT50" s="952"/>
      <c r="LNU50" s="952"/>
      <c r="LNV50" s="952"/>
      <c r="LNW50" s="952"/>
      <c r="LNX50" s="952"/>
      <c r="LNY50" s="952"/>
      <c r="LNZ50" s="952"/>
      <c r="LOA50" s="952"/>
      <c r="LOB50" s="952"/>
      <c r="LOC50" s="952"/>
      <c r="LOD50" s="952"/>
      <c r="LOE50" s="952"/>
      <c r="LOF50" s="952"/>
      <c r="LOG50" s="952"/>
      <c r="LOH50" s="952"/>
      <c r="LOI50" s="952"/>
      <c r="LOJ50" s="952"/>
      <c r="LOK50" s="952"/>
      <c r="LOL50" s="952"/>
      <c r="LOM50" s="952"/>
      <c r="LON50" s="952"/>
      <c r="LOO50" s="952"/>
      <c r="LOP50" s="952"/>
      <c r="LOQ50" s="952"/>
      <c r="LOR50" s="952"/>
      <c r="LOS50" s="952"/>
      <c r="LOT50" s="952"/>
      <c r="LOU50" s="952"/>
      <c r="LOV50" s="952"/>
      <c r="LOW50" s="952"/>
      <c r="LOX50" s="952"/>
      <c r="LOY50" s="952"/>
      <c r="LOZ50" s="952"/>
      <c r="LPA50" s="952"/>
      <c r="LPB50" s="952"/>
      <c r="LPC50" s="952"/>
      <c r="LPD50" s="952"/>
      <c r="LPE50" s="952"/>
      <c r="LPF50" s="952"/>
      <c r="LPG50" s="952"/>
      <c r="LPH50" s="952"/>
      <c r="LPI50" s="952"/>
      <c r="LPJ50" s="952"/>
      <c r="LPK50" s="952"/>
      <c r="LPL50" s="952"/>
      <c r="LPM50" s="952"/>
      <c r="LPN50" s="952"/>
      <c r="LPO50" s="952"/>
      <c r="LPP50" s="952"/>
      <c r="LPQ50" s="952"/>
      <c r="LPR50" s="952"/>
      <c r="LPS50" s="952"/>
      <c r="LPT50" s="952"/>
      <c r="LPU50" s="952"/>
      <c r="LPV50" s="952"/>
      <c r="LPW50" s="952"/>
      <c r="LPX50" s="952"/>
      <c r="LPY50" s="952"/>
      <c r="LPZ50" s="952"/>
      <c r="LQA50" s="952"/>
      <c r="LQB50" s="952"/>
      <c r="LQC50" s="952"/>
      <c r="LQD50" s="952"/>
      <c r="LQE50" s="952"/>
      <c r="LQF50" s="952"/>
      <c r="LQG50" s="952"/>
      <c r="LQH50" s="952"/>
      <c r="LQI50" s="952"/>
      <c r="LQJ50" s="952"/>
      <c r="LQK50" s="952"/>
      <c r="LQL50" s="952"/>
      <c r="LQM50" s="952"/>
      <c r="LQN50" s="952"/>
      <c r="LQO50" s="952"/>
      <c r="LQP50" s="952"/>
      <c r="LQQ50" s="952"/>
      <c r="LQR50" s="952"/>
      <c r="LQS50" s="952"/>
      <c r="LQT50" s="952"/>
      <c r="LQU50" s="952"/>
      <c r="LQV50" s="952"/>
      <c r="LQW50" s="952"/>
      <c r="LQX50" s="952"/>
      <c r="LQY50" s="952"/>
      <c r="LQZ50" s="952"/>
      <c r="LRA50" s="952"/>
      <c r="LRB50" s="952"/>
      <c r="LRC50" s="952"/>
      <c r="LRD50" s="952"/>
      <c r="LRE50" s="952"/>
      <c r="LRF50" s="952"/>
      <c r="LRG50" s="952"/>
      <c r="LRH50" s="952"/>
      <c r="LRI50" s="952"/>
      <c r="LRJ50" s="952"/>
      <c r="LRK50" s="952"/>
      <c r="LRL50" s="952"/>
      <c r="LRM50" s="952"/>
      <c r="LRN50" s="952"/>
      <c r="LRO50" s="952"/>
      <c r="LRP50" s="952"/>
      <c r="LRQ50" s="952"/>
      <c r="LRR50" s="952"/>
      <c r="LRS50" s="952"/>
      <c r="LRT50" s="952"/>
      <c r="LRU50" s="952"/>
      <c r="LRV50" s="952"/>
      <c r="LRW50" s="952"/>
      <c r="LRX50" s="952"/>
      <c r="LRY50" s="952"/>
      <c r="LRZ50" s="952"/>
      <c r="LSA50" s="952"/>
      <c r="LSB50" s="952"/>
      <c r="LSC50" s="952"/>
      <c r="LSD50" s="952"/>
      <c r="LSE50" s="952"/>
      <c r="LSF50" s="952"/>
      <c r="LSG50" s="952"/>
      <c r="LSH50" s="952"/>
      <c r="LSI50" s="952"/>
      <c r="LSJ50" s="952"/>
      <c r="LSK50" s="952"/>
      <c r="LSL50" s="952"/>
      <c r="LSM50" s="952"/>
      <c r="LSN50" s="952"/>
      <c r="LSO50" s="952"/>
      <c r="LSP50" s="952"/>
      <c r="LSQ50" s="952"/>
      <c r="LSR50" s="952"/>
      <c r="LSS50" s="952"/>
      <c r="LST50" s="952"/>
      <c r="LSU50" s="952"/>
      <c r="LSV50" s="952"/>
      <c r="LSW50" s="952"/>
      <c r="LSX50" s="952"/>
      <c r="LSY50" s="952"/>
      <c r="LSZ50" s="952"/>
      <c r="LTA50" s="952"/>
      <c r="LTB50" s="952"/>
      <c r="LTC50" s="952"/>
      <c r="LTD50" s="952"/>
      <c r="LTE50" s="952"/>
      <c r="LTF50" s="952"/>
      <c r="LTG50" s="952"/>
      <c r="LTH50" s="952"/>
      <c r="LTI50" s="952"/>
      <c r="LTJ50" s="952"/>
      <c r="LTK50" s="952"/>
      <c r="LTL50" s="952"/>
      <c r="LTM50" s="952"/>
      <c r="LTN50" s="952"/>
      <c r="LTO50" s="952"/>
      <c r="LTP50" s="952"/>
      <c r="LTQ50" s="952"/>
      <c r="LTR50" s="952"/>
      <c r="LTS50" s="952"/>
      <c r="LTT50" s="952"/>
      <c r="LTU50" s="952"/>
      <c r="LTV50" s="952"/>
      <c r="LTW50" s="952"/>
      <c r="LTX50" s="952"/>
      <c r="LTY50" s="952"/>
      <c r="LTZ50" s="952"/>
      <c r="LUA50" s="952"/>
      <c r="LUB50" s="952"/>
      <c r="LUC50" s="952"/>
      <c r="LUD50" s="952"/>
      <c r="LUE50" s="952"/>
      <c r="LUF50" s="952"/>
      <c r="LUG50" s="952"/>
      <c r="LUH50" s="952"/>
      <c r="LUI50" s="952"/>
      <c r="LUJ50" s="952"/>
      <c r="LUK50" s="952"/>
      <c r="LUL50" s="952"/>
      <c r="LUM50" s="952"/>
      <c r="LUN50" s="952"/>
      <c r="LUO50" s="952"/>
      <c r="LUP50" s="952"/>
      <c r="LUQ50" s="952"/>
      <c r="LUR50" s="952"/>
      <c r="LUS50" s="952"/>
      <c r="LUT50" s="952"/>
      <c r="LUU50" s="952"/>
      <c r="LUV50" s="952"/>
      <c r="LUW50" s="952"/>
      <c r="LUX50" s="952"/>
      <c r="LUY50" s="952"/>
      <c r="LUZ50" s="952"/>
      <c r="LVA50" s="952"/>
      <c r="LVB50" s="952"/>
      <c r="LVC50" s="952"/>
      <c r="LVD50" s="952"/>
      <c r="LVE50" s="952"/>
      <c r="LVF50" s="952"/>
      <c r="LVG50" s="952"/>
      <c r="LVH50" s="952"/>
      <c r="LVI50" s="952"/>
      <c r="LVJ50" s="952"/>
      <c r="LVK50" s="952"/>
      <c r="LVL50" s="952"/>
      <c r="LVM50" s="952"/>
      <c r="LVN50" s="952"/>
      <c r="LVO50" s="952"/>
      <c r="LVP50" s="952"/>
      <c r="LVQ50" s="952"/>
      <c r="LVR50" s="952"/>
      <c r="LVS50" s="952"/>
      <c r="LVT50" s="952"/>
      <c r="LVU50" s="952"/>
      <c r="LVV50" s="952"/>
      <c r="LVW50" s="952"/>
      <c r="LVX50" s="952"/>
      <c r="LVY50" s="952"/>
      <c r="LVZ50" s="952"/>
      <c r="LWA50" s="952"/>
      <c r="LWB50" s="952"/>
      <c r="LWC50" s="952"/>
      <c r="LWD50" s="952"/>
      <c r="LWE50" s="952"/>
      <c r="LWF50" s="952"/>
      <c r="LWG50" s="952"/>
      <c r="LWH50" s="952"/>
      <c r="LWI50" s="952"/>
      <c r="LWJ50" s="952"/>
      <c r="LWK50" s="952"/>
      <c r="LWL50" s="952"/>
      <c r="LWM50" s="952"/>
      <c r="LWN50" s="952"/>
      <c r="LWO50" s="952"/>
      <c r="LWP50" s="952"/>
      <c r="LWQ50" s="952"/>
      <c r="LWR50" s="952"/>
      <c r="LWS50" s="952"/>
      <c r="LWT50" s="952"/>
      <c r="LWU50" s="952"/>
      <c r="LWV50" s="952"/>
      <c r="LWW50" s="952"/>
      <c r="LWX50" s="952"/>
      <c r="LWY50" s="952"/>
      <c r="LWZ50" s="952"/>
      <c r="LXA50" s="952"/>
      <c r="LXB50" s="952"/>
      <c r="LXC50" s="952"/>
      <c r="LXD50" s="952"/>
      <c r="LXE50" s="952"/>
      <c r="LXF50" s="952"/>
      <c r="LXG50" s="952"/>
      <c r="LXH50" s="952"/>
      <c r="LXI50" s="952"/>
      <c r="LXJ50" s="952"/>
      <c r="LXK50" s="952"/>
      <c r="LXL50" s="952"/>
      <c r="LXM50" s="952"/>
      <c r="LXN50" s="952"/>
      <c r="LXO50" s="952"/>
      <c r="LXP50" s="952"/>
      <c r="LXQ50" s="952"/>
      <c r="LXR50" s="952"/>
      <c r="LXS50" s="952"/>
      <c r="LXT50" s="952"/>
      <c r="LXU50" s="952"/>
      <c r="LXV50" s="952"/>
      <c r="LXW50" s="952"/>
      <c r="LXX50" s="952"/>
      <c r="LXY50" s="952"/>
      <c r="LXZ50" s="952"/>
      <c r="LYA50" s="952"/>
      <c r="LYB50" s="952"/>
      <c r="LYC50" s="952"/>
      <c r="LYD50" s="952"/>
      <c r="LYE50" s="952"/>
      <c r="LYF50" s="952"/>
      <c r="LYG50" s="952"/>
      <c r="LYH50" s="952"/>
      <c r="LYI50" s="952"/>
      <c r="LYJ50" s="952"/>
      <c r="LYK50" s="952"/>
      <c r="LYL50" s="952"/>
      <c r="LYM50" s="952"/>
      <c r="LYN50" s="952"/>
      <c r="LYO50" s="952"/>
      <c r="LYP50" s="952"/>
      <c r="LYQ50" s="952"/>
      <c r="LYR50" s="952"/>
      <c r="LYS50" s="952"/>
      <c r="LYT50" s="952"/>
      <c r="LYU50" s="952"/>
      <c r="LYV50" s="952"/>
      <c r="LYW50" s="952"/>
      <c r="LYX50" s="952"/>
      <c r="LYY50" s="952"/>
      <c r="LYZ50" s="952"/>
      <c r="LZA50" s="952"/>
      <c r="LZB50" s="952"/>
      <c r="LZC50" s="952"/>
      <c r="LZD50" s="952"/>
      <c r="LZE50" s="952"/>
      <c r="LZF50" s="952"/>
      <c r="LZG50" s="952"/>
      <c r="LZH50" s="952"/>
      <c r="LZI50" s="952"/>
      <c r="LZJ50" s="952"/>
      <c r="LZK50" s="952"/>
      <c r="LZL50" s="952"/>
      <c r="LZM50" s="952"/>
      <c r="LZN50" s="952"/>
      <c r="LZO50" s="952"/>
      <c r="LZP50" s="952"/>
      <c r="LZQ50" s="952"/>
      <c r="LZR50" s="952"/>
      <c r="LZS50" s="952"/>
      <c r="LZT50" s="952"/>
      <c r="LZU50" s="952"/>
      <c r="LZV50" s="952"/>
      <c r="LZW50" s="952"/>
      <c r="LZX50" s="952"/>
      <c r="LZY50" s="952"/>
      <c r="LZZ50" s="952"/>
      <c r="MAA50" s="952"/>
      <c r="MAB50" s="952"/>
      <c r="MAC50" s="952"/>
      <c r="MAD50" s="952"/>
      <c r="MAE50" s="952"/>
      <c r="MAF50" s="952"/>
      <c r="MAG50" s="952"/>
      <c r="MAH50" s="952"/>
      <c r="MAI50" s="952"/>
      <c r="MAJ50" s="952"/>
      <c r="MAK50" s="952"/>
      <c r="MAL50" s="952"/>
      <c r="MAM50" s="952"/>
      <c r="MAN50" s="952"/>
      <c r="MAO50" s="952"/>
      <c r="MAP50" s="952"/>
      <c r="MAQ50" s="952"/>
      <c r="MAR50" s="952"/>
      <c r="MAS50" s="952"/>
      <c r="MAT50" s="952"/>
      <c r="MAU50" s="952"/>
      <c r="MAV50" s="952"/>
      <c r="MAW50" s="952"/>
      <c r="MAX50" s="952"/>
      <c r="MAY50" s="952"/>
      <c r="MAZ50" s="952"/>
      <c r="MBA50" s="952"/>
      <c r="MBB50" s="952"/>
      <c r="MBC50" s="952"/>
      <c r="MBD50" s="952"/>
      <c r="MBE50" s="952"/>
      <c r="MBF50" s="952"/>
      <c r="MBG50" s="952"/>
      <c r="MBH50" s="952"/>
      <c r="MBI50" s="952"/>
      <c r="MBJ50" s="952"/>
      <c r="MBK50" s="952"/>
      <c r="MBL50" s="952"/>
      <c r="MBM50" s="952"/>
      <c r="MBN50" s="952"/>
      <c r="MBO50" s="952"/>
      <c r="MBP50" s="952"/>
      <c r="MBQ50" s="952"/>
      <c r="MBR50" s="952"/>
      <c r="MBS50" s="952"/>
      <c r="MBT50" s="952"/>
      <c r="MBU50" s="952"/>
      <c r="MBV50" s="952"/>
      <c r="MBW50" s="952"/>
      <c r="MBX50" s="952"/>
      <c r="MBY50" s="952"/>
      <c r="MBZ50" s="952"/>
      <c r="MCA50" s="952"/>
      <c r="MCB50" s="952"/>
      <c r="MCC50" s="952"/>
      <c r="MCD50" s="952"/>
      <c r="MCE50" s="952"/>
      <c r="MCF50" s="952"/>
      <c r="MCG50" s="952"/>
      <c r="MCH50" s="952"/>
      <c r="MCI50" s="952"/>
      <c r="MCJ50" s="952"/>
      <c r="MCK50" s="952"/>
      <c r="MCL50" s="952"/>
      <c r="MCM50" s="952"/>
      <c r="MCN50" s="952"/>
      <c r="MCO50" s="952"/>
      <c r="MCP50" s="952"/>
      <c r="MCQ50" s="952"/>
      <c r="MCR50" s="952"/>
      <c r="MCS50" s="952"/>
      <c r="MCT50" s="952"/>
      <c r="MCU50" s="952"/>
      <c r="MCV50" s="952"/>
      <c r="MCW50" s="952"/>
      <c r="MCX50" s="952"/>
      <c r="MCY50" s="952"/>
      <c r="MCZ50" s="952"/>
      <c r="MDA50" s="952"/>
      <c r="MDB50" s="952"/>
      <c r="MDC50" s="952"/>
      <c r="MDD50" s="952"/>
      <c r="MDE50" s="952"/>
      <c r="MDF50" s="952"/>
      <c r="MDG50" s="952"/>
      <c r="MDH50" s="952"/>
      <c r="MDI50" s="952"/>
      <c r="MDJ50" s="952"/>
      <c r="MDK50" s="952"/>
      <c r="MDL50" s="952"/>
      <c r="MDM50" s="952"/>
      <c r="MDN50" s="952"/>
      <c r="MDO50" s="952"/>
      <c r="MDP50" s="952"/>
      <c r="MDQ50" s="952"/>
      <c r="MDR50" s="952"/>
      <c r="MDS50" s="952"/>
      <c r="MDT50" s="952"/>
      <c r="MDU50" s="952"/>
      <c r="MDV50" s="952"/>
      <c r="MDW50" s="952"/>
      <c r="MDX50" s="952"/>
      <c r="MDY50" s="952"/>
      <c r="MDZ50" s="952"/>
      <c r="MEA50" s="952"/>
      <c r="MEB50" s="952"/>
      <c r="MEC50" s="952"/>
      <c r="MED50" s="952"/>
      <c r="MEE50" s="952"/>
      <c r="MEF50" s="952"/>
      <c r="MEG50" s="952"/>
      <c r="MEH50" s="952"/>
      <c r="MEI50" s="952"/>
      <c r="MEJ50" s="952"/>
      <c r="MEK50" s="952"/>
      <c r="MEL50" s="952"/>
      <c r="MEM50" s="952"/>
      <c r="MEN50" s="952"/>
      <c r="MEO50" s="952"/>
      <c r="MEP50" s="952"/>
      <c r="MEQ50" s="952"/>
      <c r="MER50" s="952"/>
      <c r="MES50" s="952"/>
      <c r="MET50" s="952"/>
      <c r="MEU50" s="952"/>
      <c r="MEV50" s="952"/>
      <c r="MEW50" s="952"/>
      <c r="MEX50" s="952"/>
      <c r="MEY50" s="952"/>
      <c r="MEZ50" s="952"/>
      <c r="MFA50" s="952"/>
      <c r="MFB50" s="952"/>
      <c r="MFC50" s="952"/>
      <c r="MFD50" s="952"/>
      <c r="MFE50" s="952"/>
      <c r="MFF50" s="952"/>
      <c r="MFG50" s="952"/>
      <c r="MFH50" s="952"/>
      <c r="MFI50" s="952"/>
      <c r="MFJ50" s="952"/>
      <c r="MFK50" s="952"/>
      <c r="MFL50" s="952"/>
      <c r="MFM50" s="952"/>
      <c r="MFN50" s="952"/>
      <c r="MFO50" s="952"/>
      <c r="MFP50" s="952"/>
      <c r="MFQ50" s="952"/>
      <c r="MFR50" s="952"/>
      <c r="MFS50" s="952"/>
      <c r="MFT50" s="952"/>
      <c r="MFU50" s="952"/>
      <c r="MFV50" s="952"/>
      <c r="MFW50" s="952"/>
      <c r="MFX50" s="952"/>
      <c r="MFY50" s="952"/>
      <c r="MFZ50" s="952"/>
      <c r="MGA50" s="952"/>
      <c r="MGB50" s="952"/>
      <c r="MGC50" s="952"/>
      <c r="MGD50" s="952"/>
      <c r="MGE50" s="952"/>
      <c r="MGF50" s="952"/>
      <c r="MGG50" s="952"/>
      <c r="MGH50" s="952"/>
      <c r="MGI50" s="952"/>
      <c r="MGJ50" s="952"/>
      <c r="MGK50" s="952"/>
      <c r="MGL50" s="952"/>
      <c r="MGM50" s="952"/>
      <c r="MGN50" s="952"/>
      <c r="MGO50" s="952"/>
      <c r="MGP50" s="952"/>
      <c r="MGQ50" s="952"/>
      <c r="MGR50" s="952"/>
      <c r="MGS50" s="952"/>
      <c r="MGT50" s="952"/>
      <c r="MGU50" s="952"/>
      <c r="MGV50" s="952"/>
      <c r="MGW50" s="952"/>
      <c r="MGX50" s="952"/>
      <c r="MGY50" s="952"/>
      <c r="MGZ50" s="952"/>
      <c r="MHA50" s="952"/>
      <c r="MHB50" s="952"/>
      <c r="MHC50" s="952"/>
      <c r="MHD50" s="952"/>
      <c r="MHE50" s="952"/>
      <c r="MHF50" s="952"/>
      <c r="MHG50" s="952"/>
      <c r="MHH50" s="952"/>
      <c r="MHI50" s="952"/>
      <c r="MHJ50" s="952"/>
      <c r="MHK50" s="952"/>
      <c r="MHL50" s="952"/>
      <c r="MHM50" s="952"/>
      <c r="MHN50" s="952"/>
      <c r="MHO50" s="952"/>
      <c r="MHP50" s="952"/>
      <c r="MHQ50" s="952"/>
      <c r="MHR50" s="952"/>
      <c r="MHS50" s="952"/>
      <c r="MHT50" s="952"/>
      <c r="MHU50" s="952"/>
      <c r="MHV50" s="952"/>
      <c r="MHW50" s="952"/>
      <c r="MHX50" s="952"/>
      <c r="MHY50" s="952"/>
      <c r="MHZ50" s="952"/>
      <c r="MIA50" s="952"/>
      <c r="MIB50" s="952"/>
      <c r="MIC50" s="952"/>
      <c r="MID50" s="952"/>
      <c r="MIE50" s="952"/>
      <c r="MIF50" s="952"/>
      <c r="MIG50" s="952"/>
      <c r="MIH50" s="952"/>
      <c r="MII50" s="952"/>
      <c r="MIJ50" s="952"/>
      <c r="MIK50" s="952"/>
      <c r="MIL50" s="952"/>
      <c r="MIM50" s="952"/>
      <c r="MIN50" s="952"/>
      <c r="MIO50" s="952"/>
      <c r="MIP50" s="952"/>
      <c r="MIQ50" s="952"/>
      <c r="MIR50" s="952"/>
      <c r="MIS50" s="952"/>
      <c r="MIT50" s="952"/>
      <c r="MIU50" s="952"/>
      <c r="MIV50" s="952"/>
      <c r="MIW50" s="952"/>
      <c r="MIX50" s="952"/>
      <c r="MIY50" s="952"/>
      <c r="MIZ50" s="952"/>
      <c r="MJA50" s="952"/>
      <c r="MJB50" s="952"/>
      <c r="MJC50" s="952"/>
      <c r="MJD50" s="952"/>
      <c r="MJE50" s="952"/>
      <c r="MJF50" s="952"/>
      <c r="MJG50" s="952"/>
      <c r="MJH50" s="952"/>
      <c r="MJI50" s="952"/>
      <c r="MJJ50" s="952"/>
      <c r="MJK50" s="952"/>
      <c r="MJL50" s="952"/>
      <c r="MJM50" s="952"/>
      <c r="MJN50" s="952"/>
      <c r="MJO50" s="952"/>
      <c r="MJP50" s="952"/>
      <c r="MJQ50" s="952"/>
      <c r="MJR50" s="952"/>
      <c r="MJS50" s="952"/>
      <c r="MJT50" s="952"/>
      <c r="MJU50" s="952"/>
      <c r="MJV50" s="952"/>
      <c r="MJW50" s="952"/>
      <c r="MJX50" s="952"/>
      <c r="MJY50" s="952"/>
      <c r="MJZ50" s="952"/>
      <c r="MKA50" s="952"/>
      <c r="MKB50" s="952"/>
      <c r="MKC50" s="952"/>
      <c r="MKD50" s="952"/>
      <c r="MKE50" s="952"/>
      <c r="MKF50" s="952"/>
      <c r="MKG50" s="952"/>
      <c r="MKH50" s="952"/>
      <c r="MKI50" s="952"/>
      <c r="MKJ50" s="952"/>
      <c r="MKK50" s="952"/>
      <c r="MKL50" s="952"/>
      <c r="MKM50" s="952"/>
      <c r="MKN50" s="952"/>
      <c r="MKO50" s="952"/>
      <c r="MKP50" s="952"/>
      <c r="MKQ50" s="952"/>
      <c r="MKR50" s="952"/>
      <c r="MKS50" s="952"/>
      <c r="MKT50" s="952"/>
      <c r="MKU50" s="952"/>
      <c r="MKV50" s="952"/>
      <c r="MKW50" s="952"/>
      <c r="MKX50" s="952"/>
      <c r="MKY50" s="952"/>
      <c r="MKZ50" s="952"/>
      <c r="MLA50" s="952"/>
      <c r="MLB50" s="952"/>
      <c r="MLC50" s="952"/>
      <c r="MLD50" s="952"/>
      <c r="MLE50" s="952"/>
      <c r="MLF50" s="952"/>
      <c r="MLG50" s="952"/>
      <c r="MLH50" s="952"/>
      <c r="MLI50" s="952"/>
      <c r="MLJ50" s="952"/>
      <c r="MLK50" s="952"/>
      <c r="MLL50" s="952"/>
      <c r="MLM50" s="952"/>
      <c r="MLN50" s="952"/>
      <c r="MLO50" s="952"/>
      <c r="MLP50" s="952"/>
      <c r="MLQ50" s="952"/>
      <c r="MLR50" s="952"/>
      <c r="MLS50" s="952"/>
      <c r="MLT50" s="952"/>
      <c r="MLU50" s="952"/>
      <c r="MLV50" s="952"/>
      <c r="MLW50" s="952"/>
      <c r="MLX50" s="952"/>
      <c r="MLY50" s="952"/>
      <c r="MLZ50" s="952"/>
      <c r="MMA50" s="952"/>
      <c r="MMB50" s="952"/>
      <c r="MMC50" s="952"/>
      <c r="MMD50" s="952"/>
      <c r="MME50" s="952"/>
      <c r="MMF50" s="952"/>
      <c r="MMG50" s="952"/>
      <c r="MMH50" s="952"/>
      <c r="MMI50" s="952"/>
      <c r="MMJ50" s="952"/>
      <c r="MMK50" s="952"/>
      <c r="MML50" s="952"/>
      <c r="MMM50" s="952"/>
      <c r="MMN50" s="952"/>
      <c r="MMO50" s="952"/>
      <c r="MMP50" s="952"/>
      <c r="MMQ50" s="952"/>
      <c r="MMR50" s="952"/>
      <c r="MMS50" s="952"/>
      <c r="MMT50" s="952"/>
      <c r="MMU50" s="952"/>
      <c r="MMV50" s="952"/>
      <c r="MMW50" s="952"/>
      <c r="MMX50" s="952"/>
      <c r="MMY50" s="952"/>
      <c r="MMZ50" s="952"/>
      <c r="MNA50" s="952"/>
      <c r="MNB50" s="952"/>
      <c r="MNC50" s="952"/>
      <c r="MND50" s="952"/>
      <c r="MNE50" s="952"/>
      <c r="MNF50" s="952"/>
      <c r="MNG50" s="952"/>
      <c r="MNH50" s="952"/>
      <c r="MNI50" s="952"/>
      <c r="MNJ50" s="952"/>
      <c r="MNK50" s="952"/>
      <c r="MNL50" s="952"/>
      <c r="MNM50" s="952"/>
      <c r="MNN50" s="952"/>
      <c r="MNO50" s="952"/>
      <c r="MNP50" s="952"/>
      <c r="MNQ50" s="952"/>
      <c r="MNR50" s="952"/>
      <c r="MNS50" s="952"/>
      <c r="MNT50" s="952"/>
      <c r="MNU50" s="952"/>
      <c r="MNV50" s="952"/>
      <c r="MNW50" s="952"/>
      <c r="MNX50" s="952"/>
      <c r="MNY50" s="952"/>
      <c r="MNZ50" s="952"/>
      <c r="MOA50" s="952"/>
      <c r="MOB50" s="952"/>
      <c r="MOC50" s="952"/>
      <c r="MOD50" s="952"/>
      <c r="MOE50" s="952"/>
      <c r="MOF50" s="952"/>
      <c r="MOG50" s="952"/>
      <c r="MOH50" s="952"/>
      <c r="MOI50" s="952"/>
      <c r="MOJ50" s="952"/>
      <c r="MOK50" s="952"/>
      <c r="MOL50" s="952"/>
      <c r="MOM50" s="952"/>
      <c r="MON50" s="952"/>
      <c r="MOO50" s="952"/>
      <c r="MOP50" s="952"/>
      <c r="MOQ50" s="952"/>
      <c r="MOR50" s="952"/>
      <c r="MOS50" s="952"/>
      <c r="MOT50" s="952"/>
      <c r="MOU50" s="952"/>
      <c r="MOV50" s="952"/>
      <c r="MOW50" s="952"/>
      <c r="MOX50" s="952"/>
      <c r="MOY50" s="952"/>
      <c r="MOZ50" s="952"/>
      <c r="MPA50" s="952"/>
      <c r="MPB50" s="952"/>
      <c r="MPC50" s="952"/>
      <c r="MPD50" s="952"/>
      <c r="MPE50" s="952"/>
      <c r="MPF50" s="952"/>
      <c r="MPG50" s="952"/>
      <c r="MPH50" s="952"/>
      <c r="MPI50" s="952"/>
      <c r="MPJ50" s="952"/>
      <c r="MPK50" s="952"/>
      <c r="MPL50" s="952"/>
      <c r="MPM50" s="952"/>
      <c r="MPN50" s="952"/>
      <c r="MPO50" s="952"/>
      <c r="MPP50" s="952"/>
      <c r="MPQ50" s="952"/>
      <c r="MPR50" s="952"/>
      <c r="MPS50" s="952"/>
      <c r="MPT50" s="952"/>
      <c r="MPU50" s="952"/>
      <c r="MPV50" s="952"/>
      <c r="MPW50" s="952"/>
      <c r="MPX50" s="952"/>
      <c r="MPY50" s="952"/>
      <c r="MPZ50" s="952"/>
      <c r="MQA50" s="952"/>
      <c r="MQB50" s="952"/>
      <c r="MQC50" s="952"/>
      <c r="MQD50" s="952"/>
      <c r="MQE50" s="952"/>
      <c r="MQF50" s="952"/>
      <c r="MQG50" s="952"/>
      <c r="MQH50" s="952"/>
      <c r="MQI50" s="952"/>
      <c r="MQJ50" s="952"/>
      <c r="MQK50" s="952"/>
      <c r="MQL50" s="952"/>
      <c r="MQM50" s="952"/>
      <c r="MQN50" s="952"/>
      <c r="MQO50" s="952"/>
      <c r="MQP50" s="952"/>
      <c r="MQQ50" s="952"/>
      <c r="MQR50" s="952"/>
      <c r="MQS50" s="952"/>
      <c r="MQT50" s="952"/>
      <c r="MQU50" s="952"/>
      <c r="MQV50" s="952"/>
      <c r="MQW50" s="952"/>
      <c r="MQX50" s="952"/>
      <c r="MQY50" s="952"/>
      <c r="MQZ50" s="952"/>
      <c r="MRA50" s="952"/>
      <c r="MRB50" s="952"/>
      <c r="MRC50" s="952"/>
      <c r="MRD50" s="952"/>
      <c r="MRE50" s="952"/>
      <c r="MRF50" s="952"/>
      <c r="MRG50" s="952"/>
      <c r="MRH50" s="952"/>
      <c r="MRI50" s="952"/>
      <c r="MRJ50" s="952"/>
      <c r="MRK50" s="952"/>
      <c r="MRL50" s="952"/>
      <c r="MRM50" s="952"/>
      <c r="MRN50" s="952"/>
      <c r="MRO50" s="952"/>
      <c r="MRP50" s="952"/>
      <c r="MRQ50" s="952"/>
      <c r="MRR50" s="952"/>
      <c r="MRS50" s="952"/>
      <c r="MRT50" s="952"/>
      <c r="MRU50" s="952"/>
      <c r="MRV50" s="952"/>
      <c r="MRW50" s="952"/>
      <c r="MRX50" s="952"/>
      <c r="MRY50" s="952"/>
      <c r="MRZ50" s="952"/>
      <c r="MSA50" s="952"/>
      <c r="MSB50" s="952"/>
      <c r="MSC50" s="952"/>
      <c r="MSD50" s="952"/>
      <c r="MSE50" s="952"/>
      <c r="MSF50" s="952"/>
      <c r="MSG50" s="952"/>
      <c r="MSH50" s="952"/>
      <c r="MSI50" s="952"/>
      <c r="MSJ50" s="952"/>
      <c r="MSK50" s="952"/>
      <c r="MSL50" s="952"/>
      <c r="MSM50" s="952"/>
      <c r="MSN50" s="952"/>
      <c r="MSO50" s="952"/>
      <c r="MSP50" s="952"/>
      <c r="MSQ50" s="952"/>
      <c r="MSR50" s="952"/>
      <c r="MSS50" s="952"/>
      <c r="MST50" s="952"/>
      <c r="MSU50" s="952"/>
      <c r="MSV50" s="952"/>
      <c r="MSW50" s="952"/>
      <c r="MSX50" s="952"/>
      <c r="MSY50" s="952"/>
      <c r="MSZ50" s="952"/>
      <c r="MTA50" s="952"/>
      <c r="MTB50" s="952"/>
      <c r="MTC50" s="952"/>
      <c r="MTD50" s="952"/>
      <c r="MTE50" s="952"/>
      <c r="MTF50" s="952"/>
      <c r="MTG50" s="952"/>
      <c r="MTH50" s="952"/>
      <c r="MTI50" s="952"/>
      <c r="MTJ50" s="952"/>
      <c r="MTK50" s="952"/>
      <c r="MTL50" s="952"/>
      <c r="MTM50" s="952"/>
      <c r="MTN50" s="952"/>
      <c r="MTO50" s="952"/>
      <c r="MTP50" s="952"/>
      <c r="MTQ50" s="952"/>
      <c r="MTR50" s="952"/>
      <c r="MTS50" s="952"/>
      <c r="MTT50" s="952"/>
      <c r="MTU50" s="952"/>
      <c r="MTV50" s="952"/>
      <c r="MTW50" s="952"/>
      <c r="MTX50" s="952"/>
      <c r="MTY50" s="952"/>
      <c r="MTZ50" s="952"/>
      <c r="MUA50" s="952"/>
      <c r="MUB50" s="952"/>
      <c r="MUC50" s="952"/>
      <c r="MUD50" s="952"/>
      <c r="MUE50" s="952"/>
      <c r="MUF50" s="952"/>
      <c r="MUG50" s="952"/>
      <c r="MUH50" s="952"/>
      <c r="MUI50" s="952"/>
      <c r="MUJ50" s="952"/>
      <c r="MUK50" s="952"/>
      <c r="MUL50" s="952"/>
      <c r="MUM50" s="952"/>
      <c r="MUN50" s="952"/>
      <c r="MUO50" s="952"/>
      <c r="MUP50" s="952"/>
      <c r="MUQ50" s="952"/>
      <c r="MUR50" s="952"/>
      <c r="MUS50" s="952"/>
      <c r="MUT50" s="952"/>
      <c r="MUU50" s="952"/>
      <c r="MUV50" s="952"/>
      <c r="MUW50" s="952"/>
      <c r="MUX50" s="952"/>
      <c r="MUY50" s="952"/>
      <c r="MUZ50" s="952"/>
      <c r="MVA50" s="952"/>
      <c r="MVB50" s="952"/>
      <c r="MVC50" s="952"/>
      <c r="MVD50" s="952"/>
      <c r="MVE50" s="952"/>
      <c r="MVF50" s="952"/>
      <c r="MVG50" s="952"/>
      <c r="MVH50" s="952"/>
      <c r="MVI50" s="952"/>
      <c r="MVJ50" s="952"/>
      <c r="MVK50" s="952"/>
      <c r="MVL50" s="952"/>
      <c r="MVM50" s="952"/>
      <c r="MVN50" s="952"/>
      <c r="MVO50" s="952"/>
      <c r="MVP50" s="952"/>
      <c r="MVQ50" s="952"/>
      <c r="MVR50" s="952"/>
      <c r="MVS50" s="952"/>
      <c r="MVT50" s="952"/>
      <c r="MVU50" s="952"/>
      <c r="MVV50" s="952"/>
      <c r="MVW50" s="952"/>
      <c r="MVX50" s="952"/>
      <c r="MVY50" s="952"/>
      <c r="MVZ50" s="952"/>
      <c r="MWA50" s="952"/>
      <c r="MWB50" s="952"/>
      <c r="MWC50" s="952"/>
      <c r="MWD50" s="952"/>
      <c r="MWE50" s="952"/>
      <c r="MWF50" s="952"/>
      <c r="MWG50" s="952"/>
      <c r="MWH50" s="952"/>
      <c r="MWI50" s="952"/>
      <c r="MWJ50" s="952"/>
      <c r="MWK50" s="952"/>
      <c r="MWL50" s="952"/>
      <c r="MWM50" s="952"/>
      <c r="MWN50" s="952"/>
      <c r="MWO50" s="952"/>
      <c r="MWP50" s="952"/>
      <c r="MWQ50" s="952"/>
      <c r="MWR50" s="952"/>
      <c r="MWS50" s="952"/>
      <c r="MWT50" s="952"/>
      <c r="MWU50" s="952"/>
      <c r="MWV50" s="952"/>
      <c r="MWW50" s="952"/>
      <c r="MWX50" s="952"/>
      <c r="MWY50" s="952"/>
      <c r="MWZ50" s="952"/>
      <c r="MXA50" s="952"/>
      <c r="MXB50" s="952"/>
      <c r="MXC50" s="952"/>
      <c r="MXD50" s="952"/>
      <c r="MXE50" s="952"/>
      <c r="MXF50" s="952"/>
      <c r="MXG50" s="952"/>
      <c r="MXH50" s="952"/>
      <c r="MXI50" s="952"/>
      <c r="MXJ50" s="952"/>
      <c r="MXK50" s="952"/>
      <c r="MXL50" s="952"/>
      <c r="MXM50" s="952"/>
      <c r="MXN50" s="952"/>
      <c r="MXO50" s="952"/>
      <c r="MXP50" s="952"/>
      <c r="MXQ50" s="952"/>
      <c r="MXR50" s="952"/>
      <c r="MXS50" s="952"/>
      <c r="MXT50" s="952"/>
      <c r="MXU50" s="952"/>
      <c r="MXV50" s="952"/>
      <c r="MXW50" s="952"/>
      <c r="MXX50" s="952"/>
      <c r="MXY50" s="952"/>
      <c r="MXZ50" s="952"/>
      <c r="MYA50" s="952"/>
      <c r="MYB50" s="952"/>
      <c r="MYC50" s="952"/>
      <c r="MYD50" s="952"/>
      <c r="MYE50" s="952"/>
      <c r="MYF50" s="952"/>
      <c r="MYG50" s="952"/>
      <c r="MYH50" s="952"/>
      <c r="MYI50" s="952"/>
      <c r="MYJ50" s="952"/>
      <c r="MYK50" s="952"/>
      <c r="MYL50" s="952"/>
      <c r="MYM50" s="952"/>
      <c r="MYN50" s="952"/>
      <c r="MYO50" s="952"/>
      <c r="MYP50" s="952"/>
      <c r="MYQ50" s="952"/>
      <c r="MYR50" s="952"/>
      <c r="MYS50" s="952"/>
      <c r="MYT50" s="952"/>
      <c r="MYU50" s="952"/>
      <c r="MYV50" s="952"/>
      <c r="MYW50" s="952"/>
      <c r="MYX50" s="952"/>
      <c r="MYY50" s="952"/>
      <c r="MYZ50" s="952"/>
      <c r="MZA50" s="952"/>
      <c r="MZB50" s="952"/>
      <c r="MZC50" s="952"/>
      <c r="MZD50" s="952"/>
      <c r="MZE50" s="952"/>
      <c r="MZF50" s="952"/>
      <c r="MZG50" s="952"/>
      <c r="MZH50" s="952"/>
      <c r="MZI50" s="952"/>
      <c r="MZJ50" s="952"/>
      <c r="MZK50" s="952"/>
      <c r="MZL50" s="952"/>
      <c r="MZM50" s="952"/>
      <c r="MZN50" s="952"/>
      <c r="MZO50" s="952"/>
      <c r="MZP50" s="952"/>
      <c r="MZQ50" s="952"/>
      <c r="MZR50" s="952"/>
      <c r="MZS50" s="952"/>
      <c r="MZT50" s="952"/>
      <c r="MZU50" s="952"/>
      <c r="MZV50" s="952"/>
      <c r="MZW50" s="952"/>
      <c r="MZX50" s="952"/>
      <c r="MZY50" s="952"/>
      <c r="MZZ50" s="952"/>
      <c r="NAA50" s="952"/>
      <c r="NAB50" s="952"/>
      <c r="NAC50" s="952"/>
      <c r="NAD50" s="952"/>
      <c r="NAE50" s="952"/>
      <c r="NAF50" s="952"/>
      <c r="NAG50" s="952"/>
      <c r="NAH50" s="952"/>
      <c r="NAI50" s="952"/>
      <c r="NAJ50" s="952"/>
      <c r="NAK50" s="952"/>
      <c r="NAL50" s="952"/>
      <c r="NAM50" s="952"/>
      <c r="NAN50" s="952"/>
      <c r="NAO50" s="952"/>
      <c r="NAP50" s="952"/>
      <c r="NAQ50" s="952"/>
      <c r="NAR50" s="952"/>
      <c r="NAS50" s="952"/>
      <c r="NAT50" s="952"/>
      <c r="NAU50" s="952"/>
      <c r="NAV50" s="952"/>
      <c r="NAW50" s="952"/>
      <c r="NAX50" s="952"/>
      <c r="NAY50" s="952"/>
      <c r="NAZ50" s="952"/>
      <c r="NBA50" s="952"/>
      <c r="NBB50" s="952"/>
      <c r="NBC50" s="952"/>
      <c r="NBD50" s="952"/>
      <c r="NBE50" s="952"/>
      <c r="NBF50" s="952"/>
      <c r="NBG50" s="952"/>
      <c r="NBH50" s="952"/>
      <c r="NBI50" s="952"/>
      <c r="NBJ50" s="952"/>
      <c r="NBK50" s="952"/>
      <c r="NBL50" s="952"/>
      <c r="NBM50" s="952"/>
      <c r="NBN50" s="952"/>
      <c r="NBO50" s="952"/>
      <c r="NBP50" s="952"/>
      <c r="NBQ50" s="952"/>
      <c r="NBR50" s="952"/>
      <c r="NBS50" s="952"/>
      <c r="NBT50" s="952"/>
      <c r="NBU50" s="952"/>
      <c r="NBV50" s="952"/>
      <c r="NBW50" s="952"/>
      <c r="NBX50" s="952"/>
      <c r="NBY50" s="952"/>
      <c r="NBZ50" s="952"/>
      <c r="NCA50" s="952"/>
      <c r="NCB50" s="952"/>
      <c r="NCC50" s="952"/>
      <c r="NCD50" s="952"/>
      <c r="NCE50" s="952"/>
      <c r="NCF50" s="952"/>
      <c r="NCG50" s="952"/>
      <c r="NCH50" s="952"/>
      <c r="NCI50" s="952"/>
      <c r="NCJ50" s="952"/>
      <c r="NCK50" s="952"/>
      <c r="NCL50" s="952"/>
      <c r="NCM50" s="952"/>
      <c r="NCN50" s="952"/>
      <c r="NCO50" s="952"/>
      <c r="NCP50" s="952"/>
      <c r="NCQ50" s="952"/>
      <c r="NCR50" s="952"/>
      <c r="NCS50" s="952"/>
      <c r="NCT50" s="952"/>
      <c r="NCU50" s="952"/>
      <c r="NCV50" s="952"/>
      <c r="NCW50" s="952"/>
      <c r="NCX50" s="952"/>
      <c r="NCY50" s="952"/>
      <c r="NCZ50" s="952"/>
      <c r="NDA50" s="952"/>
      <c r="NDB50" s="952"/>
      <c r="NDC50" s="952"/>
      <c r="NDD50" s="952"/>
      <c r="NDE50" s="952"/>
      <c r="NDF50" s="952"/>
      <c r="NDG50" s="952"/>
      <c r="NDH50" s="952"/>
      <c r="NDI50" s="952"/>
      <c r="NDJ50" s="952"/>
      <c r="NDK50" s="952"/>
      <c r="NDL50" s="952"/>
      <c r="NDM50" s="952"/>
      <c r="NDN50" s="952"/>
      <c r="NDO50" s="952"/>
      <c r="NDP50" s="952"/>
      <c r="NDQ50" s="952"/>
      <c r="NDR50" s="952"/>
      <c r="NDS50" s="952"/>
      <c r="NDT50" s="952"/>
      <c r="NDU50" s="952"/>
      <c r="NDV50" s="952"/>
      <c r="NDW50" s="952"/>
      <c r="NDX50" s="952"/>
      <c r="NDY50" s="952"/>
      <c r="NDZ50" s="952"/>
      <c r="NEA50" s="952"/>
      <c r="NEB50" s="952"/>
      <c r="NEC50" s="952"/>
      <c r="NED50" s="952"/>
      <c r="NEE50" s="952"/>
      <c r="NEF50" s="952"/>
      <c r="NEG50" s="952"/>
      <c r="NEH50" s="952"/>
      <c r="NEI50" s="952"/>
      <c r="NEJ50" s="952"/>
      <c r="NEK50" s="952"/>
      <c r="NEL50" s="952"/>
      <c r="NEM50" s="952"/>
      <c r="NEN50" s="952"/>
      <c r="NEO50" s="952"/>
      <c r="NEP50" s="952"/>
      <c r="NEQ50" s="952"/>
      <c r="NER50" s="952"/>
      <c r="NES50" s="952"/>
      <c r="NET50" s="952"/>
      <c r="NEU50" s="952"/>
      <c r="NEV50" s="952"/>
      <c r="NEW50" s="952"/>
      <c r="NEX50" s="952"/>
      <c r="NEY50" s="952"/>
      <c r="NEZ50" s="952"/>
      <c r="NFA50" s="952"/>
      <c r="NFB50" s="952"/>
      <c r="NFC50" s="952"/>
      <c r="NFD50" s="952"/>
      <c r="NFE50" s="952"/>
      <c r="NFF50" s="952"/>
      <c r="NFG50" s="952"/>
      <c r="NFH50" s="952"/>
      <c r="NFI50" s="952"/>
      <c r="NFJ50" s="952"/>
      <c r="NFK50" s="952"/>
      <c r="NFL50" s="952"/>
      <c r="NFM50" s="952"/>
      <c r="NFN50" s="952"/>
      <c r="NFO50" s="952"/>
      <c r="NFP50" s="952"/>
      <c r="NFQ50" s="952"/>
      <c r="NFR50" s="952"/>
      <c r="NFS50" s="952"/>
      <c r="NFT50" s="952"/>
      <c r="NFU50" s="952"/>
      <c r="NFV50" s="952"/>
      <c r="NFW50" s="952"/>
      <c r="NFX50" s="952"/>
      <c r="NFY50" s="952"/>
      <c r="NFZ50" s="952"/>
      <c r="NGA50" s="952"/>
      <c r="NGB50" s="952"/>
      <c r="NGC50" s="952"/>
      <c r="NGD50" s="952"/>
      <c r="NGE50" s="952"/>
      <c r="NGF50" s="952"/>
      <c r="NGG50" s="952"/>
      <c r="NGH50" s="952"/>
      <c r="NGI50" s="952"/>
      <c r="NGJ50" s="952"/>
      <c r="NGK50" s="952"/>
      <c r="NGL50" s="952"/>
      <c r="NGM50" s="952"/>
      <c r="NGN50" s="952"/>
      <c r="NGO50" s="952"/>
      <c r="NGP50" s="952"/>
      <c r="NGQ50" s="952"/>
      <c r="NGR50" s="952"/>
      <c r="NGS50" s="952"/>
      <c r="NGT50" s="952"/>
      <c r="NGU50" s="952"/>
      <c r="NGV50" s="952"/>
      <c r="NGW50" s="952"/>
      <c r="NGX50" s="952"/>
      <c r="NGY50" s="952"/>
      <c r="NGZ50" s="952"/>
      <c r="NHA50" s="952"/>
      <c r="NHB50" s="952"/>
      <c r="NHC50" s="952"/>
      <c r="NHD50" s="952"/>
      <c r="NHE50" s="952"/>
      <c r="NHF50" s="952"/>
      <c r="NHG50" s="952"/>
      <c r="NHH50" s="952"/>
      <c r="NHI50" s="952"/>
      <c r="NHJ50" s="952"/>
      <c r="NHK50" s="952"/>
      <c r="NHL50" s="952"/>
      <c r="NHM50" s="952"/>
      <c r="NHN50" s="952"/>
      <c r="NHO50" s="952"/>
      <c r="NHP50" s="952"/>
      <c r="NHQ50" s="952"/>
      <c r="NHR50" s="952"/>
      <c r="NHS50" s="952"/>
      <c r="NHT50" s="952"/>
      <c r="NHU50" s="952"/>
      <c r="NHV50" s="952"/>
      <c r="NHW50" s="952"/>
      <c r="NHX50" s="952"/>
      <c r="NHY50" s="952"/>
      <c r="NHZ50" s="952"/>
      <c r="NIA50" s="952"/>
      <c r="NIB50" s="952"/>
      <c r="NIC50" s="952"/>
      <c r="NID50" s="952"/>
      <c r="NIE50" s="952"/>
      <c r="NIF50" s="952"/>
      <c r="NIG50" s="952"/>
      <c r="NIH50" s="952"/>
      <c r="NII50" s="952"/>
      <c r="NIJ50" s="952"/>
      <c r="NIK50" s="952"/>
      <c r="NIL50" s="952"/>
      <c r="NIM50" s="952"/>
      <c r="NIN50" s="952"/>
      <c r="NIO50" s="952"/>
      <c r="NIP50" s="952"/>
      <c r="NIQ50" s="952"/>
      <c r="NIR50" s="952"/>
      <c r="NIS50" s="952"/>
      <c r="NIT50" s="952"/>
      <c r="NIU50" s="952"/>
      <c r="NIV50" s="952"/>
      <c r="NIW50" s="952"/>
      <c r="NIX50" s="952"/>
      <c r="NIY50" s="952"/>
      <c r="NIZ50" s="952"/>
      <c r="NJA50" s="952"/>
      <c r="NJB50" s="952"/>
      <c r="NJC50" s="952"/>
      <c r="NJD50" s="952"/>
      <c r="NJE50" s="952"/>
      <c r="NJF50" s="952"/>
      <c r="NJG50" s="952"/>
      <c r="NJH50" s="952"/>
      <c r="NJI50" s="952"/>
      <c r="NJJ50" s="952"/>
      <c r="NJK50" s="952"/>
      <c r="NJL50" s="952"/>
      <c r="NJM50" s="952"/>
      <c r="NJN50" s="952"/>
      <c r="NJO50" s="952"/>
      <c r="NJP50" s="952"/>
      <c r="NJQ50" s="952"/>
      <c r="NJR50" s="952"/>
      <c r="NJS50" s="952"/>
      <c r="NJT50" s="952"/>
      <c r="NJU50" s="952"/>
      <c r="NJV50" s="952"/>
      <c r="NJW50" s="952"/>
      <c r="NJX50" s="952"/>
      <c r="NJY50" s="952"/>
      <c r="NJZ50" s="952"/>
      <c r="NKA50" s="952"/>
      <c r="NKB50" s="952"/>
      <c r="NKC50" s="952"/>
      <c r="NKD50" s="952"/>
      <c r="NKE50" s="952"/>
      <c r="NKF50" s="952"/>
      <c r="NKG50" s="952"/>
      <c r="NKH50" s="952"/>
      <c r="NKI50" s="952"/>
      <c r="NKJ50" s="952"/>
      <c r="NKK50" s="952"/>
      <c r="NKL50" s="952"/>
      <c r="NKM50" s="952"/>
      <c r="NKN50" s="952"/>
      <c r="NKO50" s="952"/>
      <c r="NKP50" s="952"/>
      <c r="NKQ50" s="952"/>
      <c r="NKR50" s="952"/>
      <c r="NKS50" s="952"/>
      <c r="NKT50" s="952"/>
      <c r="NKU50" s="952"/>
      <c r="NKV50" s="952"/>
      <c r="NKW50" s="952"/>
      <c r="NKX50" s="952"/>
      <c r="NKY50" s="952"/>
      <c r="NKZ50" s="952"/>
      <c r="NLA50" s="952"/>
      <c r="NLB50" s="952"/>
      <c r="NLC50" s="952"/>
      <c r="NLD50" s="952"/>
      <c r="NLE50" s="952"/>
      <c r="NLF50" s="952"/>
      <c r="NLG50" s="952"/>
      <c r="NLH50" s="952"/>
      <c r="NLI50" s="952"/>
      <c r="NLJ50" s="952"/>
      <c r="NLK50" s="952"/>
      <c r="NLL50" s="952"/>
      <c r="NLM50" s="952"/>
      <c r="NLN50" s="952"/>
      <c r="NLO50" s="952"/>
      <c r="NLP50" s="952"/>
      <c r="NLQ50" s="952"/>
      <c r="NLR50" s="952"/>
      <c r="NLS50" s="952"/>
      <c r="NLT50" s="952"/>
      <c r="NLU50" s="952"/>
      <c r="NLV50" s="952"/>
      <c r="NLW50" s="952"/>
      <c r="NLX50" s="952"/>
      <c r="NLY50" s="952"/>
      <c r="NLZ50" s="952"/>
      <c r="NMA50" s="952"/>
      <c r="NMB50" s="952"/>
      <c r="NMC50" s="952"/>
      <c r="NMD50" s="952"/>
      <c r="NME50" s="952"/>
      <c r="NMF50" s="952"/>
      <c r="NMG50" s="952"/>
      <c r="NMH50" s="952"/>
      <c r="NMI50" s="952"/>
      <c r="NMJ50" s="952"/>
      <c r="NMK50" s="952"/>
      <c r="NML50" s="952"/>
      <c r="NMM50" s="952"/>
      <c r="NMN50" s="952"/>
      <c r="NMO50" s="952"/>
      <c r="NMP50" s="952"/>
      <c r="NMQ50" s="952"/>
      <c r="NMR50" s="952"/>
      <c r="NMS50" s="952"/>
      <c r="NMT50" s="952"/>
      <c r="NMU50" s="952"/>
      <c r="NMV50" s="952"/>
      <c r="NMW50" s="952"/>
      <c r="NMX50" s="952"/>
      <c r="NMY50" s="952"/>
      <c r="NMZ50" s="952"/>
      <c r="NNA50" s="952"/>
      <c r="NNB50" s="952"/>
      <c r="NNC50" s="952"/>
      <c r="NND50" s="952"/>
      <c r="NNE50" s="952"/>
      <c r="NNF50" s="952"/>
      <c r="NNG50" s="952"/>
      <c r="NNH50" s="952"/>
      <c r="NNI50" s="952"/>
      <c r="NNJ50" s="952"/>
      <c r="NNK50" s="952"/>
      <c r="NNL50" s="952"/>
      <c r="NNM50" s="952"/>
      <c r="NNN50" s="952"/>
      <c r="NNO50" s="952"/>
      <c r="NNP50" s="952"/>
      <c r="NNQ50" s="952"/>
      <c r="NNR50" s="952"/>
      <c r="NNS50" s="952"/>
      <c r="NNT50" s="952"/>
      <c r="NNU50" s="952"/>
      <c r="NNV50" s="952"/>
      <c r="NNW50" s="952"/>
      <c r="NNX50" s="952"/>
      <c r="NNY50" s="952"/>
      <c r="NNZ50" s="952"/>
      <c r="NOA50" s="952"/>
      <c r="NOB50" s="952"/>
      <c r="NOC50" s="952"/>
      <c r="NOD50" s="952"/>
      <c r="NOE50" s="952"/>
      <c r="NOF50" s="952"/>
      <c r="NOG50" s="952"/>
      <c r="NOH50" s="952"/>
      <c r="NOI50" s="952"/>
      <c r="NOJ50" s="952"/>
      <c r="NOK50" s="952"/>
      <c r="NOL50" s="952"/>
      <c r="NOM50" s="952"/>
      <c r="NON50" s="952"/>
      <c r="NOO50" s="952"/>
      <c r="NOP50" s="952"/>
      <c r="NOQ50" s="952"/>
      <c r="NOR50" s="952"/>
      <c r="NOS50" s="952"/>
      <c r="NOT50" s="952"/>
      <c r="NOU50" s="952"/>
      <c r="NOV50" s="952"/>
      <c r="NOW50" s="952"/>
      <c r="NOX50" s="952"/>
      <c r="NOY50" s="952"/>
      <c r="NOZ50" s="952"/>
      <c r="NPA50" s="952"/>
      <c r="NPB50" s="952"/>
      <c r="NPC50" s="952"/>
      <c r="NPD50" s="952"/>
      <c r="NPE50" s="952"/>
      <c r="NPF50" s="952"/>
      <c r="NPG50" s="952"/>
      <c r="NPH50" s="952"/>
      <c r="NPI50" s="952"/>
      <c r="NPJ50" s="952"/>
      <c r="NPK50" s="952"/>
      <c r="NPL50" s="952"/>
      <c r="NPM50" s="952"/>
      <c r="NPN50" s="952"/>
      <c r="NPO50" s="952"/>
      <c r="NPP50" s="952"/>
      <c r="NPQ50" s="952"/>
      <c r="NPR50" s="952"/>
      <c r="NPS50" s="952"/>
      <c r="NPT50" s="952"/>
      <c r="NPU50" s="952"/>
      <c r="NPV50" s="952"/>
      <c r="NPW50" s="952"/>
      <c r="NPX50" s="952"/>
      <c r="NPY50" s="952"/>
      <c r="NPZ50" s="952"/>
      <c r="NQA50" s="952"/>
      <c r="NQB50" s="952"/>
      <c r="NQC50" s="952"/>
      <c r="NQD50" s="952"/>
      <c r="NQE50" s="952"/>
      <c r="NQF50" s="952"/>
      <c r="NQG50" s="952"/>
      <c r="NQH50" s="952"/>
      <c r="NQI50" s="952"/>
      <c r="NQJ50" s="952"/>
      <c r="NQK50" s="952"/>
      <c r="NQL50" s="952"/>
      <c r="NQM50" s="952"/>
      <c r="NQN50" s="952"/>
      <c r="NQO50" s="952"/>
      <c r="NQP50" s="952"/>
      <c r="NQQ50" s="952"/>
      <c r="NQR50" s="952"/>
      <c r="NQS50" s="952"/>
      <c r="NQT50" s="952"/>
      <c r="NQU50" s="952"/>
      <c r="NQV50" s="952"/>
      <c r="NQW50" s="952"/>
      <c r="NQX50" s="952"/>
      <c r="NQY50" s="952"/>
      <c r="NQZ50" s="952"/>
      <c r="NRA50" s="952"/>
      <c r="NRB50" s="952"/>
      <c r="NRC50" s="952"/>
      <c r="NRD50" s="952"/>
      <c r="NRE50" s="952"/>
      <c r="NRF50" s="952"/>
      <c r="NRG50" s="952"/>
      <c r="NRH50" s="952"/>
      <c r="NRI50" s="952"/>
      <c r="NRJ50" s="952"/>
      <c r="NRK50" s="952"/>
      <c r="NRL50" s="952"/>
      <c r="NRM50" s="952"/>
      <c r="NRN50" s="952"/>
      <c r="NRO50" s="952"/>
      <c r="NRP50" s="952"/>
      <c r="NRQ50" s="952"/>
      <c r="NRR50" s="952"/>
      <c r="NRS50" s="952"/>
      <c r="NRT50" s="952"/>
      <c r="NRU50" s="952"/>
      <c r="NRV50" s="952"/>
      <c r="NRW50" s="952"/>
      <c r="NRX50" s="952"/>
      <c r="NRY50" s="952"/>
      <c r="NRZ50" s="952"/>
      <c r="NSA50" s="952"/>
      <c r="NSB50" s="952"/>
      <c r="NSC50" s="952"/>
      <c r="NSD50" s="952"/>
      <c r="NSE50" s="952"/>
      <c r="NSF50" s="952"/>
      <c r="NSG50" s="952"/>
      <c r="NSH50" s="952"/>
      <c r="NSI50" s="952"/>
      <c r="NSJ50" s="952"/>
      <c r="NSK50" s="952"/>
      <c r="NSL50" s="952"/>
      <c r="NSM50" s="952"/>
      <c r="NSN50" s="952"/>
      <c r="NSO50" s="952"/>
      <c r="NSP50" s="952"/>
      <c r="NSQ50" s="952"/>
      <c r="NSR50" s="952"/>
      <c r="NSS50" s="952"/>
      <c r="NST50" s="952"/>
      <c r="NSU50" s="952"/>
      <c r="NSV50" s="952"/>
      <c r="NSW50" s="952"/>
      <c r="NSX50" s="952"/>
      <c r="NSY50" s="952"/>
      <c r="NSZ50" s="952"/>
      <c r="NTA50" s="952"/>
      <c r="NTB50" s="952"/>
      <c r="NTC50" s="952"/>
      <c r="NTD50" s="952"/>
      <c r="NTE50" s="952"/>
      <c r="NTF50" s="952"/>
      <c r="NTG50" s="952"/>
      <c r="NTH50" s="952"/>
      <c r="NTI50" s="952"/>
      <c r="NTJ50" s="952"/>
      <c r="NTK50" s="952"/>
      <c r="NTL50" s="952"/>
      <c r="NTM50" s="952"/>
      <c r="NTN50" s="952"/>
      <c r="NTO50" s="952"/>
      <c r="NTP50" s="952"/>
      <c r="NTQ50" s="952"/>
      <c r="NTR50" s="952"/>
      <c r="NTS50" s="952"/>
      <c r="NTT50" s="952"/>
      <c r="NTU50" s="952"/>
      <c r="NTV50" s="952"/>
      <c r="NTW50" s="952"/>
      <c r="NTX50" s="952"/>
      <c r="NTY50" s="952"/>
      <c r="NTZ50" s="952"/>
      <c r="NUA50" s="952"/>
      <c r="NUB50" s="952"/>
      <c r="NUC50" s="952"/>
      <c r="NUD50" s="952"/>
      <c r="NUE50" s="952"/>
      <c r="NUF50" s="952"/>
      <c r="NUG50" s="952"/>
      <c r="NUH50" s="952"/>
      <c r="NUI50" s="952"/>
      <c r="NUJ50" s="952"/>
      <c r="NUK50" s="952"/>
      <c r="NUL50" s="952"/>
      <c r="NUM50" s="952"/>
      <c r="NUN50" s="952"/>
      <c r="NUO50" s="952"/>
      <c r="NUP50" s="952"/>
      <c r="NUQ50" s="952"/>
      <c r="NUR50" s="952"/>
      <c r="NUS50" s="952"/>
      <c r="NUT50" s="952"/>
      <c r="NUU50" s="952"/>
      <c r="NUV50" s="952"/>
      <c r="NUW50" s="952"/>
      <c r="NUX50" s="952"/>
      <c r="NUY50" s="952"/>
      <c r="NUZ50" s="952"/>
      <c r="NVA50" s="952"/>
      <c r="NVB50" s="952"/>
      <c r="NVC50" s="952"/>
      <c r="NVD50" s="952"/>
      <c r="NVE50" s="952"/>
      <c r="NVF50" s="952"/>
      <c r="NVG50" s="952"/>
      <c r="NVH50" s="952"/>
      <c r="NVI50" s="952"/>
      <c r="NVJ50" s="952"/>
      <c r="NVK50" s="952"/>
      <c r="NVL50" s="952"/>
      <c r="NVM50" s="952"/>
      <c r="NVN50" s="952"/>
      <c r="NVO50" s="952"/>
      <c r="NVP50" s="952"/>
      <c r="NVQ50" s="952"/>
      <c r="NVR50" s="952"/>
      <c r="NVS50" s="952"/>
      <c r="NVT50" s="952"/>
      <c r="NVU50" s="952"/>
      <c r="NVV50" s="952"/>
      <c r="NVW50" s="952"/>
      <c r="NVX50" s="952"/>
      <c r="NVY50" s="952"/>
      <c r="NVZ50" s="952"/>
      <c r="NWA50" s="952"/>
      <c r="NWB50" s="952"/>
      <c r="NWC50" s="952"/>
      <c r="NWD50" s="952"/>
      <c r="NWE50" s="952"/>
      <c r="NWF50" s="952"/>
      <c r="NWG50" s="952"/>
      <c r="NWH50" s="952"/>
      <c r="NWI50" s="952"/>
      <c r="NWJ50" s="952"/>
      <c r="NWK50" s="952"/>
      <c r="NWL50" s="952"/>
      <c r="NWM50" s="952"/>
      <c r="NWN50" s="952"/>
      <c r="NWO50" s="952"/>
      <c r="NWP50" s="952"/>
      <c r="NWQ50" s="952"/>
      <c r="NWR50" s="952"/>
      <c r="NWS50" s="952"/>
      <c r="NWT50" s="952"/>
      <c r="NWU50" s="952"/>
      <c r="NWV50" s="952"/>
      <c r="NWW50" s="952"/>
      <c r="NWX50" s="952"/>
      <c r="NWY50" s="952"/>
      <c r="NWZ50" s="952"/>
      <c r="NXA50" s="952"/>
      <c r="NXB50" s="952"/>
      <c r="NXC50" s="952"/>
      <c r="NXD50" s="952"/>
      <c r="NXE50" s="952"/>
      <c r="NXF50" s="952"/>
      <c r="NXG50" s="952"/>
      <c r="NXH50" s="952"/>
      <c r="NXI50" s="952"/>
      <c r="NXJ50" s="952"/>
      <c r="NXK50" s="952"/>
      <c r="NXL50" s="952"/>
      <c r="NXM50" s="952"/>
      <c r="NXN50" s="952"/>
      <c r="NXO50" s="952"/>
      <c r="NXP50" s="952"/>
      <c r="NXQ50" s="952"/>
      <c r="NXR50" s="952"/>
      <c r="NXS50" s="952"/>
      <c r="NXT50" s="952"/>
      <c r="NXU50" s="952"/>
      <c r="NXV50" s="952"/>
      <c r="NXW50" s="952"/>
      <c r="NXX50" s="952"/>
      <c r="NXY50" s="952"/>
      <c r="NXZ50" s="952"/>
      <c r="NYA50" s="952"/>
      <c r="NYB50" s="952"/>
      <c r="NYC50" s="952"/>
      <c r="NYD50" s="952"/>
      <c r="NYE50" s="952"/>
      <c r="NYF50" s="952"/>
      <c r="NYG50" s="952"/>
      <c r="NYH50" s="952"/>
      <c r="NYI50" s="952"/>
      <c r="NYJ50" s="952"/>
      <c r="NYK50" s="952"/>
      <c r="NYL50" s="952"/>
      <c r="NYM50" s="952"/>
      <c r="NYN50" s="952"/>
      <c r="NYO50" s="952"/>
      <c r="NYP50" s="952"/>
      <c r="NYQ50" s="952"/>
      <c r="NYR50" s="952"/>
      <c r="NYS50" s="952"/>
      <c r="NYT50" s="952"/>
      <c r="NYU50" s="952"/>
      <c r="NYV50" s="952"/>
      <c r="NYW50" s="952"/>
      <c r="NYX50" s="952"/>
      <c r="NYY50" s="952"/>
      <c r="NYZ50" s="952"/>
      <c r="NZA50" s="952"/>
      <c r="NZB50" s="952"/>
      <c r="NZC50" s="952"/>
      <c r="NZD50" s="952"/>
      <c r="NZE50" s="952"/>
      <c r="NZF50" s="952"/>
      <c r="NZG50" s="952"/>
      <c r="NZH50" s="952"/>
      <c r="NZI50" s="952"/>
      <c r="NZJ50" s="952"/>
      <c r="NZK50" s="952"/>
      <c r="NZL50" s="952"/>
      <c r="NZM50" s="952"/>
      <c r="NZN50" s="952"/>
      <c r="NZO50" s="952"/>
      <c r="NZP50" s="952"/>
      <c r="NZQ50" s="952"/>
      <c r="NZR50" s="952"/>
      <c r="NZS50" s="952"/>
      <c r="NZT50" s="952"/>
      <c r="NZU50" s="952"/>
      <c r="NZV50" s="952"/>
      <c r="NZW50" s="952"/>
      <c r="NZX50" s="952"/>
      <c r="NZY50" s="952"/>
      <c r="NZZ50" s="952"/>
      <c r="OAA50" s="952"/>
      <c r="OAB50" s="952"/>
      <c r="OAC50" s="952"/>
      <c r="OAD50" s="952"/>
      <c r="OAE50" s="952"/>
      <c r="OAF50" s="952"/>
      <c r="OAG50" s="952"/>
      <c r="OAH50" s="952"/>
      <c r="OAI50" s="952"/>
      <c r="OAJ50" s="952"/>
      <c r="OAK50" s="952"/>
      <c r="OAL50" s="952"/>
      <c r="OAM50" s="952"/>
      <c r="OAN50" s="952"/>
      <c r="OAO50" s="952"/>
      <c r="OAP50" s="952"/>
      <c r="OAQ50" s="952"/>
      <c r="OAR50" s="952"/>
      <c r="OAS50" s="952"/>
      <c r="OAT50" s="952"/>
      <c r="OAU50" s="952"/>
      <c r="OAV50" s="952"/>
      <c r="OAW50" s="952"/>
      <c r="OAX50" s="952"/>
      <c r="OAY50" s="952"/>
      <c r="OAZ50" s="952"/>
      <c r="OBA50" s="952"/>
      <c r="OBB50" s="952"/>
      <c r="OBC50" s="952"/>
      <c r="OBD50" s="952"/>
      <c r="OBE50" s="952"/>
      <c r="OBF50" s="952"/>
      <c r="OBG50" s="952"/>
      <c r="OBH50" s="952"/>
      <c r="OBI50" s="952"/>
      <c r="OBJ50" s="952"/>
      <c r="OBK50" s="952"/>
      <c r="OBL50" s="952"/>
      <c r="OBM50" s="952"/>
      <c r="OBN50" s="952"/>
      <c r="OBO50" s="952"/>
      <c r="OBP50" s="952"/>
      <c r="OBQ50" s="952"/>
      <c r="OBR50" s="952"/>
      <c r="OBS50" s="952"/>
      <c r="OBT50" s="952"/>
      <c r="OBU50" s="952"/>
      <c r="OBV50" s="952"/>
      <c r="OBW50" s="952"/>
      <c r="OBX50" s="952"/>
      <c r="OBY50" s="952"/>
      <c r="OBZ50" s="952"/>
      <c r="OCA50" s="952"/>
      <c r="OCB50" s="952"/>
      <c r="OCC50" s="952"/>
      <c r="OCD50" s="952"/>
      <c r="OCE50" s="952"/>
      <c r="OCF50" s="952"/>
      <c r="OCG50" s="952"/>
      <c r="OCH50" s="952"/>
      <c r="OCI50" s="952"/>
      <c r="OCJ50" s="952"/>
      <c r="OCK50" s="952"/>
      <c r="OCL50" s="952"/>
      <c r="OCM50" s="952"/>
      <c r="OCN50" s="952"/>
      <c r="OCO50" s="952"/>
      <c r="OCP50" s="952"/>
      <c r="OCQ50" s="952"/>
      <c r="OCR50" s="952"/>
      <c r="OCS50" s="952"/>
      <c r="OCT50" s="952"/>
      <c r="OCU50" s="952"/>
      <c r="OCV50" s="952"/>
      <c r="OCW50" s="952"/>
      <c r="OCX50" s="952"/>
      <c r="OCY50" s="952"/>
      <c r="OCZ50" s="952"/>
      <c r="ODA50" s="952"/>
      <c r="ODB50" s="952"/>
      <c r="ODC50" s="952"/>
      <c r="ODD50" s="952"/>
      <c r="ODE50" s="952"/>
      <c r="ODF50" s="952"/>
      <c r="ODG50" s="952"/>
      <c r="ODH50" s="952"/>
      <c r="ODI50" s="952"/>
      <c r="ODJ50" s="952"/>
      <c r="ODK50" s="952"/>
      <c r="ODL50" s="952"/>
      <c r="ODM50" s="952"/>
      <c r="ODN50" s="952"/>
      <c r="ODO50" s="952"/>
      <c r="ODP50" s="952"/>
      <c r="ODQ50" s="952"/>
      <c r="ODR50" s="952"/>
      <c r="ODS50" s="952"/>
      <c r="ODT50" s="952"/>
      <c r="ODU50" s="952"/>
      <c r="ODV50" s="952"/>
      <c r="ODW50" s="952"/>
      <c r="ODX50" s="952"/>
      <c r="ODY50" s="952"/>
      <c r="ODZ50" s="952"/>
      <c r="OEA50" s="952"/>
      <c r="OEB50" s="952"/>
      <c r="OEC50" s="952"/>
      <c r="OED50" s="952"/>
      <c r="OEE50" s="952"/>
      <c r="OEF50" s="952"/>
      <c r="OEG50" s="952"/>
      <c r="OEH50" s="952"/>
      <c r="OEI50" s="952"/>
      <c r="OEJ50" s="952"/>
      <c r="OEK50" s="952"/>
      <c r="OEL50" s="952"/>
      <c r="OEM50" s="952"/>
      <c r="OEN50" s="952"/>
      <c r="OEO50" s="952"/>
      <c r="OEP50" s="952"/>
      <c r="OEQ50" s="952"/>
      <c r="OER50" s="952"/>
      <c r="OES50" s="952"/>
      <c r="OET50" s="952"/>
      <c r="OEU50" s="952"/>
      <c r="OEV50" s="952"/>
      <c r="OEW50" s="952"/>
      <c r="OEX50" s="952"/>
      <c r="OEY50" s="952"/>
      <c r="OEZ50" s="952"/>
      <c r="OFA50" s="952"/>
      <c r="OFB50" s="952"/>
      <c r="OFC50" s="952"/>
      <c r="OFD50" s="952"/>
      <c r="OFE50" s="952"/>
      <c r="OFF50" s="952"/>
      <c r="OFG50" s="952"/>
      <c r="OFH50" s="952"/>
      <c r="OFI50" s="952"/>
      <c r="OFJ50" s="952"/>
      <c r="OFK50" s="952"/>
      <c r="OFL50" s="952"/>
      <c r="OFM50" s="952"/>
      <c r="OFN50" s="952"/>
      <c r="OFO50" s="952"/>
      <c r="OFP50" s="952"/>
      <c r="OFQ50" s="952"/>
      <c r="OFR50" s="952"/>
      <c r="OFS50" s="952"/>
      <c r="OFT50" s="952"/>
      <c r="OFU50" s="952"/>
      <c r="OFV50" s="952"/>
      <c r="OFW50" s="952"/>
      <c r="OFX50" s="952"/>
      <c r="OFY50" s="952"/>
      <c r="OFZ50" s="952"/>
      <c r="OGA50" s="952"/>
      <c r="OGB50" s="952"/>
      <c r="OGC50" s="952"/>
      <c r="OGD50" s="952"/>
      <c r="OGE50" s="952"/>
      <c r="OGF50" s="952"/>
      <c r="OGG50" s="952"/>
      <c r="OGH50" s="952"/>
      <c r="OGI50" s="952"/>
      <c r="OGJ50" s="952"/>
      <c r="OGK50" s="952"/>
      <c r="OGL50" s="952"/>
      <c r="OGM50" s="952"/>
      <c r="OGN50" s="952"/>
      <c r="OGO50" s="952"/>
      <c r="OGP50" s="952"/>
      <c r="OGQ50" s="952"/>
      <c r="OGR50" s="952"/>
      <c r="OGS50" s="952"/>
      <c r="OGT50" s="952"/>
      <c r="OGU50" s="952"/>
      <c r="OGV50" s="952"/>
      <c r="OGW50" s="952"/>
      <c r="OGX50" s="952"/>
      <c r="OGY50" s="952"/>
      <c r="OGZ50" s="952"/>
      <c r="OHA50" s="952"/>
      <c r="OHB50" s="952"/>
      <c r="OHC50" s="952"/>
      <c r="OHD50" s="952"/>
      <c r="OHE50" s="952"/>
      <c r="OHF50" s="952"/>
      <c r="OHG50" s="952"/>
      <c r="OHH50" s="952"/>
      <c r="OHI50" s="952"/>
      <c r="OHJ50" s="952"/>
      <c r="OHK50" s="952"/>
      <c r="OHL50" s="952"/>
      <c r="OHM50" s="952"/>
      <c r="OHN50" s="952"/>
      <c r="OHO50" s="952"/>
      <c r="OHP50" s="952"/>
      <c r="OHQ50" s="952"/>
      <c r="OHR50" s="952"/>
      <c r="OHS50" s="952"/>
      <c r="OHT50" s="952"/>
      <c r="OHU50" s="952"/>
      <c r="OHV50" s="952"/>
      <c r="OHW50" s="952"/>
      <c r="OHX50" s="952"/>
      <c r="OHY50" s="952"/>
      <c r="OHZ50" s="952"/>
      <c r="OIA50" s="952"/>
      <c r="OIB50" s="952"/>
      <c r="OIC50" s="952"/>
      <c r="OID50" s="952"/>
      <c r="OIE50" s="952"/>
      <c r="OIF50" s="952"/>
      <c r="OIG50" s="952"/>
      <c r="OIH50" s="952"/>
      <c r="OII50" s="952"/>
      <c r="OIJ50" s="952"/>
      <c r="OIK50" s="952"/>
      <c r="OIL50" s="952"/>
      <c r="OIM50" s="952"/>
      <c r="OIN50" s="952"/>
      <c r="OIO50" s="952"/>
      <c r="OIP50" s="952"/>
      <c r="OIQ50" s="952"/>
      <c r="OIR50" s="952"/>
      <c r="OIS50" s="952"/>
      <c r="OIT50" s="952"/>
      <c r="OIU50" s="952"/>
      <c r="OIV50" s="952"/>
      <c r="OIW50" s="952"/>
      <c r="OIX50" s="952"/>
      <c r="OIY50" s="952"/>
      <c r="OIZ50" s="952"/>
      <c r="OJA50" s="952"/>
      <c r="OJB50" s="952"/>
      <c r="OJC50" s="952"/>
      <c r="OJD50" s="952"/>
      <c r="OJE50" s="952"/>
      <c r="OJF50" s="952"/>
      <c r="OJG50" s="952"/>
      <c r="OJH50" s="952"/>
      <c r="OJI50" s="952"/>
      <c r="OJJ50" s="952"/>
      <c r="OJK50" s="952"/>
      <c r="OJL50" s="952"/>
      <c r="OJM50" s="952"/>
      <c r="OJN50" s="952"/>
      <c r="OJO50" s="952"/>
      <c r="OJP50" s="952"/>
      <c r="OJQ50" s="952"/>
      <c r="OJR50" s="952"/>
      <c r="OJS50" s="952"/>
      <c r="OJT50" s="952"/>
      <c r="OJU50" s="952"/>
      <c r="OJV50" s="952"/>
      <c r="OJW50" s="952"/>
      <c r="OJX50" s="952"/>
      <c r="OJY50" s="952"/>
      <c r="OJZ50" s="952"/>
      <c r="OKA50" s="952"/>
      <c r="OKB50" s="952"/>
      <c r="OKC50" s="952"/>
      <c r="OKD50" s="952"/>
      <c r="OKE50" s="952"/>
      <c r="OKF50" s="952"/>
      <c r="OKG50" s="952"/>
      <c r="OKH50" s="952"/>
      <c r="OKI50" s="952"/>
      <c r="OKJ50" s="952"/>
      <c r="OKK50" s="952"/>
      <c r="OKL50" s="952"/>
      <c r="OKM50" s="952"/>
      <c r="OKN50" s="952"/>
      <c r="OKO50" s="952"/>
      <c r="OKP50" s="952"/>
      <c r="OKQ50" s="952"/>
      <c r="OKR50" s="952"/>
      <c r="OKS50" s="952"/>
      <c r="OKT50" s="952"/>
      <c r="OKU50" s="952"/>
      <c r="OKV50" s="952"/>
      <c r="OKW50" s="952"/>
      <c r="OKX50" s="952"/>
      <c r="OKY50" s="952"/>
      <c r="OKZ50" s="952"/>
      <c r="OLA50" s="952"/>
      <c r="OLB50" s="952"/>
      <c r="OLC50" s="952"/>
      <c r="OLD50" s="952"/>
      <c r="OLE50" s="952"/>
      <c r="OLF50" s="952"/>
      <c r="OLG50" s="952"/>
      <c r="OLH50" s="952"/>
      <c r="OLI50" s="952"/>
      <c r="OLJ50" s="952"/>
      <c r="OLK50" s="952"/>
      <c r="OLL50" s="952"/>
      <c r="OLM50" s="952"/>
      <c r="OLN50" s="952"/>
      <c r="OLO50" s="952"/>
      <c r="OLP50" s="952"/>
      <c r="OLQ50" s="952"/>
      <c r="OLR50" s="952"/>
      <c r="OLS50" s="952"/>
      <c r="OLT50" s="952"/>
      <c r="OLU50" s="952"/>
      <c r="OLV50" s="952"/>
      <c r="OLW50" s="952"/>
      <c r="OLX50" s="952"/>
      <c r="OLY50" s="952"/>
      <c r="OLZ50" s="952"/>
      <c r="OMA50" s="952"/>
      <c r="OMB50" s="952"/>
      <c r="OMC50" s="952"/>
      <c r="OMD50" s="952"/>
      <c r="OME50" s="952"/>
      <c r="OMF50" s="952"/>
      <c r="OMG50" s="952"/>
      <c r="OMH50" s="952"/>
      <c r="OMI50" s="952"/>
      <c r="OMJ50" s="952"/>
      <c r="OMK50" s="952"/>
      <c r="OML50" s="952"/>
      <c r="OMM50" s="952"/>
      <c r="OMN50" s="952"/>
      <c r="OMO50" s="952"/>
      <c r="OMP50" s="952"/>
      <c r="OMQ50" s="952"/>
      <c r="OMR50" s="952"/>
      <c r="OMS50" s="952"/>
      <c r="OMT50" s="952"/>
      <c r="OMU50" s="952"/>
      <c r="OMV50" s="952"/>
      <c r="OMW50" s="952"/>
      <c r="OMX50" s="952"/>
      <c r="OMY50" s="952"/>
      <c r="OMZ50" s="952"/>
      <c r="ONA50" s="952"/>
      <c r="ONB50" s="952"/>
      <c r="ONC50" s="952"/>
      <c r="OND50" s="952"/>
      <c r="ONE50" s="952"/>
      <c r="ONF50" s="952"/>
      <c r="ONG50" s="952"/>
      <c r="ONH50" s="952"/>
      <c r="ONI50" s="952"/>
      <c r="ONJ50" s="952"/>
      <c r="ONK50" s="952"/>
      <c r="ONL50" s="952"/>
      <c r="ONM50" s="952"/>
      <c r="ONN50" s="952"/>
      <c r="ONO50" s="952"/>
      <c r="ONP50" s="952"/>
      <c r="ONQ50" s="952"/>
      <c r="ONR50" s="952"/>
      <c r="ONS50" s="952"/>
      <c r="ONT50" s="952"/>
      <c r="ONU50" s="952"/>
      <c r="ONV50" s="952"/>
      <c r="ONW50" s="952"/>
      <c r="ONX50" s="952"/>
      <c r="ONY50" s="952"/>
      <c r="ONZ50" s="952"/>
      <c r="OOA50" s="952"/>
      <c r="OOB50" s="952"/>
      <c r="OOC50" s="952"/>
      <c r="OOD50" s="952"/>
      <c r="OOE50" s="952"/>
      <c r="OOF50" s="952"/>
      <c r="OOG50" s="952"/>
      <c r="OOH50" s="952"/>
      <c r="OOI50" s="952"/>
      <c r="OOJ50" s="952"/>
      <c r="OOK50" s="952"/>
      <c r="OOL50" s="952"/>
      <c r="OOM50" s="952"/>
      <c r="OON50" s="952"/>
      <c r="OOO50" s="952"/>
      <c r="OOP50" s="952"/>
      <c r="OOQ50" s="952"/>
      <c r="OOR50" s="952"/>
      <c r="OOS50" s="952"/>
      <c r="OOT50" s="952"/>
      <c r="OOU50" s="952"/>
      <c r="OOV50" s="952"/>
      <c r="OOW50" s="952"/>
      <c r="OOX50" s="952"/>
      <c r="OOY50" s="952"/>
      <c r="OOZ50" s="952"/>
      <c r="OPA50" s="952"/>
      <c r="OPB50" s="952"/>
      <c r="OPC50" s="952"/>
      <c r="OPD50" s="952"/>
      <c r="OPE50" s="952"/>
      <c r="OPF50" s="952"/>
      <c r="OPG50" s="952"/>
      <c r="OPH50" s="952"/>
      <c r="OPI50" s="952"/>
      <c r="OPJ50" s="952"/>
      <c r="OPK50" s="952"/>
      <c r="OPL50" s="952"/>
      <c r="OPM50" s="952"/>
      <c r="OPN50" s="952"/>
      <c r="OPO50" s="952"/>
      <c r="OPP50" s="952"/>
      <c r="OPQ50" s="952"/>
      <c r="OPR50" s="952"/>
      <c r="OPS50" s="952"/>
      <c r="OPT50" s="952"/>
      <c r="OPU50" s="952"/>
      <c r="OPV50" s="952"/>
      <c r="OPW50" s="952"/>
      <c r="OPX50" s="952"/>
      <c r="OPY50" s="952"/>
      <c r="OPZ50" s="952"/>
      <c r="OQA50" s="952"/>
      <c r="OQB50" s="952"/>
      <c r="OQC50" s="952"/>
      <c r="OQD50" s="952"/>
      <c r="OQE50" s="952"/>
      <c r="OQF50" s="952"/>
      <c r="OQG50" s="952"/>
      <c r="OQH50" s="952"/>
      <c r="OQI50" s="952"/>
      <c r="OQJ50" s="952"/>
      <c r="OQK50" s="952"/>
      <c r="OQL50" s="952"/>
      <c r="OQM50" s="952"/>
      <c r="OQN50" s="952"/>
      <c r="OQO50" s="952"/>
      <c r="OQP50" s="952"/>
      <c r="OQQ50" s="952"/>
      <c r="OQR50" s="952"/>
      <c r="OQS50" s="952"/>
      <c r="OQT50" s="952"/>
      <c r="OQU50" s="952"/>
      <c r="OQV50" s="952"/>
      <c r="OQW50" s="952"/>
      <c r="OQX50" s="952"/>
      <c r="OQY50" s="952"/>
      <c r="OQZ50" s="952"/>
      <c r="ORA50" s="952"/>
      <c r="ORB50" s="952"/>
      <c r="ORC50" s="952"/>
      <c r="ORD50" s="952"/>
      <c r="ORE50" s="952"/>
      <c r="ORF50" s="952"/>
      <c r="ORG50" s="952"/>
      <c r="ORH50" s="952"/>
      <c r="ORI50" s="952"/>
      <c r="ORJ50" s="952"/>
      <c r="ORK50" s="952"/>
      <c r="ORL50" s="952"/>
      <c r="ORM50" s="952"/>
      <c r="ORN50" s="952"/>
      <c r="ORO50" s="952"/>
      <c r="ORP50" s="952"/>
      <c r="ORQ50" s="952"/>
      <c r="ORR50" s="952"/>
      <c r="ORS50" s="952"/>
      <c r="ORT50" s="952"/>
      <c r="ORU50" s="952"/>
      <c r="ORV50" s="952"/>
      <c r="ORW50" s="952"/>
      <c r="ORX50" s="952"/>
      <c r="ORY50" s="952"/>
      <c r="ORZ50" s="952"/>
      <c r="OSA50" s="952"/>
      <c r="OSB50" s="952"/>
      <c r="OSC50" s="952"/>
      <c r="OSD50" s="952"/>
      <c r="OSE50" s="952"/>
      <c r="OSF50" s="952"/>
      <c r="OSG50" s="952"/>
      <c r="OSH50" s="952"/>
      <c r="OSI50" s="952"/>
      <c r="OSJ50" s="952"/>
      <c r="OSK50" s="952"/>
      <c r="OSL50" s="952"/>
      <c r="OSM50" s="952"/>
      <c r="OSN50" s="952"/>
      <c r="OSO50" s="952"/>
      <c r="OSP50" s="952"/>
      <c r="OSQ50" s="952"/>
      <c r="OSR50" s="952"/>
      <c r="OSS50" s="952"/>
      <c r="OST50" s="952"/>
      <c r="OSU50" s="952"/>
      <c r="OSV50" s="952"/>
      <c r="OSW50" s="952"/>
      <c r="OSX50" s="952"/>
      <c r="OSY50" s="952"/>
      <c r="OSZ50" s="952"/>
      <c r="OTA50" s="952"/>
      <c r="OTB50" s="952"/>
      <c r="OTC50" s="952"/>
      <c r="OTD50" s="952"/>
      <c r="OTE50" s="952"/>
      <c r="OTF50" s="952"/>
      <c r="OTG50" s="952"/>
      <c r="OTH50" s="952"/>
      <c r="OTI50" s="952"/>
      <c r="OTJ50" s="952"/>
      <c r="OTK50" s="952"/>
      <c r="OTL50" s="952"/>
      <c r="OTM50" s="952"/>
      <c r="OTN50" s="952"/>
      <c r="OTO50" s="952"/>
      <c r="OTP50" s="952"/>
      <c r="OTQ50" s="952"/>
      <c r="OTR50" s="952"/>
      <c r="OTS50" s="952"/>
      <c r="OTT50" s="952"/>
      <c r="OTU50" s="952"/>
      <c r="OTV50" s="952"/>
      <c r="OTW50" s="952"/>
      <c r="OTX50" s="952"/>
      <c r="OTY50" s="952"/>
      <c r="OTZ50" s="952"/>
      <c r="OUA50" s="952"/>
      <c r="OUB50" s="952"/>
      <c r="OUC50" s="952"/>
      <c r="OUD50" s="952"/>
      <c r="OUE50" s="952"/>
      <c r="OUF50" s="952"/>
      <c r="OUG50" s="952"/>
      <c r="OUH50" s="952"/>
      <c r="OUI50" s="952"/>
      <c r="OUJ50" s="952"/>
      <c r="OUK50" s="952"/>
      <c r="OUL50" s="952"/>
      <c r="OUM50" s="952"/>
      <c r="OUN50" s="952"/>
      <c r="OUO50" s="952"/>
      <c r="OUP50" s="952"/>
      <c r="OUQ50" s="952"/>
      <c r="OUR50" s="952"/>
      <c r="OUS50" s="952"/>
      <c r="OUT50" s="952"/>
      <c r="OUU50" s="952"/>
      <c r="OUV50" s="952"/>
      <c r="OUW50" s="952"/>
      <c r="OUX50" s="952"/>
      <c r="OUY50" s="952"/>
      <c r="OUZ50" s="952"/>
      <c r="OVA50" s="952"/>
      <c r="OVB50" s="952"/>
      <c r="OVC50" s="952"/>
      <c r="OVD50" s="952"/>
      <c r="OVE50" s="952"/>
      <c r="OVF50" s="952"/>
      <c r="OVG50" s="952"/>
      <c r="OVH50" s="952"/>
      <c r="OVI50" s="952"/>
      <c r="OVJ50" s="952"/>
      <c r="OVK50" s="952"/>
      <c r="OVL50" s="952"/>
      <c r="OVM50" s="952"/>
      <c r="OVN50" s="952"/>
      <c r="OVO50" s="952"/>
      <c r="OVP50" s="952"/>
      <c r="OVQ50" s="952"/>
      <c r="OVR50" s="952"/>
      <c r="OVS50" s="952"/>
      <c r="OVT50" s="952"/>
      <c r="OVU50" s="952"/>
      <c r="OVV50" s="952"/>
      <c r="OVW50" s="952"/>
      <c r="OVX50" s="952"/>
      <c r="OVY50" s="952"/>
      <c r="OVZ50" s="952"/>
      <c r="OWA50" s="952"/>
      <c r="OWB50" s="952"/>
      <c r="OWC50" s="952"/>
      <c r="OWD50" s="952"/>
      <c r="OWE50" s="952"/>
      <c r="OWF50" s="952"/>
      <c r="OWG50" s="952"/>
      <c r="OWH50" s="952"/>
      <c r="OWI50" s="952"/>
      <c r="OWJ50" s="952"/>
      <c r="OWK50" s="952"/>
      <c r="OWL50" s="952"/>
      <c r="OWM50" s="952"/>
      <c r="OWN50" s="952"/>
      <c r="OWO50" s="952"/>
      <c r="OWP50" s="952"/>
      <c r="OWQ50" s="952"/>
      <c r="OWR50" s="952"/>
      <c r="OWS50" s="952"/>
      <c r="OWT50" s="952"/>
      <c r="OWU50" s="952"/>
      <c r="OWV50" s="952"/>
      <c r="OWW50" s="952"/>
      <c r="OWX50" s="952"/>
      <c r="OWY50" s="952"/>
      <c r="OWZ50" s="952"/>
      <c r="OXA50" s="952"/>
      <c r="OXB50" s="952"/>
      <c r="OXC50" s="952"/>
      <c r="OXD50" s="952"/>
      <c r="OXE50" s="952"/>
      <c r="OXF50" s="952"/>
      <c r="OXG50" s="952"/>
      <c r="OXH50" s="952"/>
      <c r="OXI50" s="952"/>
      <c r="OXJ50" s="952"/>
      <c r="OXK50" s="952"/>
      <c r="OXL50" s="952"/>
      <c r="OXM50" s="952"/>
      <c r="OXN50" s="952"/>
      <c r="OXO50" s="952"/>
      <c r="OXP50" s="952"/>
      <c r="OXQ50" s="952"/>
      <c r="OXR50" s="952"/>
      <c r="OXS50" s="952"/>
      <c r="OXT50" s="952"/>
      <c r="OXU50" s="952"/>
      <c r="OXV50" s="952"/>
      <c r="OXW50" s="952"/>
      <c r="OXX50" s="952"/>
      <c r="OXY50" s="952"/>
      <c r="OXZ50" s="952"/>
      <c r="OYA50" s="952"/>
      <c r="OYB50" s="952"/>
      <c r="OYC50" s="952"/>
      <c r="OYD50" s="952"/>
      <c r="OYE50" s="952"/>
      <c r="OYF50" s="952"/>
      <c r="OYG50" s="952"/>
      <c r="OYH50" s="952"/>
      <c r="OYI50" s="952"/>
      <c r="OYJ50" s="952"/>
      <c r="OYK50" s="952"/>
      <c r="OYL50" s="952"/>
      <c r="OYM50" s="952"/>
      <c r="OYN50" s="952"/>
      <c r="OYO50" s="952"/>
      <c r="OYP50" s="952"/>
      <c r="OYQ50" s="952"/>
      <c r="OYR50" s="952"/>
      <c r="OYS50" s="952"/>
      <c r="OYT50" s="952"/>
      <c r="OYU50" s="952"/>
      <c r="OYV50" s="952"/>
      <c r="OYW50" s="952"/>
      <c r="OYX50" s="952"/>
      <c r="OYY50" s="952"/>
      <c r="OYZ50" s="952"/>
      <c r="OZA50" s="952"/>
      <c r="OZB50" s="952"/>
      <c r="OZC50" s="952"/>
      <c r="OZD50" s="952"/>
      <c r="OZE50" s="952"/>
      <c r="OZF50" s="952"/>
      <c r="OZG50" s="952"/>
      <c r="OZH50" s="952"/>
      <c r="OZI50" s="952"/>
      <c r="OZJ50" s="952"/>
      <c r="OZK50" s="952"/>
      <c r="OZL50" s="952"/>
      <c r="OZM50" s="952"/>
      <c r="OZN50" s="952"/>
      <c r="OZO50" s="952"/>
      <c r="OZP50" s="952"/>
      <c r="OZQ50" s="952"/>
      <c r="OZR50" s="952"/>
      <c r="OZS50" s="952"/>
      <c r="OZT50" s="952"/>
      <c r="OZU50" s="952"/>
      <c r="OZV50" s="952"/>
      <c r="OZW50" s="952"/>
      <c r="OZX50" s="952"/>
      <c r="OZY50" s="952"/>
      <c r="OZZ50" s="952"/>
      <c r="PAA50" s="952"/>
      <c r="PAB50" s="952"/>
      <c r="PAC50" s="952"/>
      <c r="PAD50" s="952"/>
      <c r="PAE50" s="952"/>
      <c r="PAF50" s="952"/>
      <c r="PAG50" s="952"/>
      <c r="PAH50" s="952"/>
      <c r="PAI50" s="952"/>
      <c r="PAJ50" s="952"/>
      <c r="PAK50" s="952"/>
      <c r="PAL50" s="952"/>
      <c r="PAM50" s="952"/>
      <c r="PAN50" s="952"/>
      <c r="PAO50" s="952"/>
      <c r="PAP50" s="952"/>
      <c r="PAQ50" s="952"/>
      <c r="PAR50" s="952"/>
      <c r="PAS50" s="952"/>
      <c r="PAT50" s="952"/>
      <c r="PAU50" s="952"/>
      <c r="PAV50" s="952"/>
      <c r="PAW50" s="952"/>
      <c r="PAX50" s="952"/>
      <c r="PAY50" s="952"/>
      <c r="PAZ50" s="952"/>
      <c r="PBA50" s="952"/>
      <c r="PBB50" s="952"/>
      <c r="PBC50" s="952"/>
      <c r="PBD50" s="952"/>
      <c r="PBE50" s="952"/>
      <c r="PBF50" s="952"/>
      <c r="PBG50" s="952"/>
      <c r="PBH50" s="952"/>
      <c r="PBI50" s="952"/>
      <c r="PBJ50" s="952"/>
      <c r="PBK50" s="952"/>
      <c r="PBL50" s="952"/>
      <c r="PBM50" s="952"/>
      <c r="PBN50" s="952"/>
      <c r="PBO50" s="952"/>
      <c r="PBP50" s="952"/>
      <c r="PBQ50" s="952"/>
      <c r="PBR50" s="952"/>
      <c r="PBS50" s="952"/>
      <c r="PBT50" s="952"/>
      <c r="PBU50" s="952"/>
      <c r="PBV50" s="952"/>
      <c r="PBW50" s="952"/>
      <c r="PBX50" s="952"/>
      <c r="PBY50" s="952"/>
      <c r="PBZ50" s="952"/>
      <c r="PCA50" s="952"/>
      <c r="PCB50" s="952"/>
      <c r="PCC50" s="952"/>
      <c r="PCD50" s="952"/>
      <c r="PCE50" s="952"/>
      <c r="PCF50" s="952"/>
      <c r="PCG50" s="952"/>
      <c r="PCH50" s="952"/>
      <c r="PCI50" s="952"/>
      <c r="PCJ50" s="952"/>
      <c r="PCK50" s="952"/>
      <c r="PCL50" s="952"/>
      <c r="PCM50" s="952"/>
      <c r="PCN50" s="952"/>
      <c r="PCO50" s="952"/>
      <c r="PCP50" s="952"/>
      <c r="PCQ50" s="952"/>
      <c r="PCR50" s="952"/>
      <c r="PCS50" s="952"/>
      <c r="PCT50" s="952"/>
      <c r="PCU50" s="952"/>
      <c r="PCV50" s="952"/>
      <c r="PCW50" s="952"/>
      <c r="PCX50" s="952"/>
      <c r="PCY50" s="952"/>
      <c r="PCZ50" s="952"/>
      <c r="PDA50" s="952"/>
      <c r="PDB50" s="952"/>
      <c r="PDC50" s="952"/>
      <c r="PDD50" s="952"/>
      <c r="PDE50" s="952"/>
      <c r="PDF50" s="952"/>
      <c r="PDG50" s="952"/>
      <c r="PDH50" s="952"/>
      <c r="PDI50" s="952"/>
      <c r="PDJ50" s="952"/>
      <c r="PDK50" s="952"/>
      <c r="PDL50" s="952"/>
      <c r="PDM50" s="952"/>
      <c r="PDN50" s="952"/>
      <c r="PDO50" s="952"/>
      <c r="PDP50" s="952"/>
      <c r="PDQ50" s="952"/>
      <c r="PDR50" s="952"/>
      <c r="PDS50" s="952"/>
      <c r="PDT50" s="952"/>
      <c r="PDU50" s="952"/>
      <c r="PDV50" s="952"/>
      <c r="PDW50" s="952"/>
      <c r="PDX50" s="952"/>
      <c r="PDY50" s="952"/>
      <c r="PDZ50" s="952"/>
      <c r="PEA50" s="952"/>
      <c r="PEB50" s="952"/>
      <c r="PEC50" s="952"/>
      <c r="PED50" s="952"/>
      <c r="PEE50" s="952"/>
      <c r="PEF50" s="952"/>
      <c r="PEG50" s="952"/>
      <c r="PEH50" s="952"/>
      <c r="PEI50" s="952"/>
      <c r="PEJ50" s="952"/>
      <c r="PEK50" s="952"/>
      <c r="PEL50" s="952"/>
      <c r="PEM50" s="952"/>
      <c r="PEN50" s="952"/>
      <c r="PEO50" s="952"/>
      <c r="PEP50" s="952"/>
      <c r="PEQ50" s="952"/>
      <c r="PER50" s="952"/>
      <c r="PES50" s="952"/>
      <c r="PET50" s="952"/>
      <c r="PEU50" s="952"/>
      <c r="PEV50" s="952"/>
      <c r="PEW50" s="952"/>
      <c r="PEX50" s="952"/>
      <c r="PEY50" s="952"/>
      <c r="PEZ50" s="952"/>
      <c r="PFA50" s="952"/>
      <c r="PFB50" s="952"/>
      <c r="PFC50" s="952"/>
      <c r="PFD50" s="952"/>
      <c r="PFE50" s="952"/>
      <c r="PFF50" s="952"/>
      <c r="PFG50" s="952"/>
      <c r="PFH50" s="952"/>
      <c r="PFI50" s="952"/>
      <c r="PFJ50" s="952"/>
      <c r="PFK50" s="952"/>
      <c r="PFL50" s="952"/>
      <c r="PFM50" s="952"/>
      <c r="PFN50" s="952"/>
      <c r="PFO50" s="952"/>
      <c r="PFP50" s="952"/>
      <c r="PFQ50" s="952"/>
      <c r="PFR50" s="952"/>
      <c r="PFS50" s="952"/>
      <c r="PFT50" s="952"/>
      <c r="PFU50" s="952"/>
      <c r="PFV50" s="952"/>
      <c r="PFW50" s="952"/>
      <c r="PFX50" s="952"/>
      <c r="PFY50" s="952"/>
      <c r="PFZ50" s="952"/>
      <c r="PGA50" s="952"/>
      <c r="PGB50" s="952"/>
      <c r="PGC50" s="952"/>
      <c r="PGD50" s="952"/>
      <c r="PGE50" s="952"/>
      <c r="PGF50" s="952"/>
      <c r="PGG50" s="952"/>
      <c r="PGH50" s="952"/>
      <c r="PGI50" s="952"/>
      <c r="PGJ50" s="952"/>
      <c r="PGK50" s="952"/>
      <c r="PGL50" s="952"/>
      <c r="PGM50" s="952"/>
      <c r="PGN50" s="952"/>
      <c r="PGO50" s="952"/>
      <c r="PGP50" s="952"/>
      <c r="PGQ50" s="952"/>
      <c r="PGR50" s="952"/>
      <c r="PGS50" s="952"/>
      <c r="PGT50" s="952"/>
      <c r="PGU50" s="952"/>
      <c r="PGV50" s="952"/>
      <c r="PGW50" s="952"/>
      <c r="PGX50" s="952"/>
      <c r="PGY50" s="952"/>
      <c r="PGZ50" s="952"/>
      <c r="PHA50" s="952"/>
      <c r="PHB50" s="952"/>
      <c r="PHC50" s="952"/>
      <c r="PHD50" s="952"/>
      <c r="PHE50" s="952"/>
      <c r="PHF50" s="952"/>
      <c r="PHG50" s="952"/>
      <c r="PHH50" s="952"/>
      <c r="PHI50" s="952"/>
      <c r="PHJ50" s="952"/>
      <c r="PHK50" s="952"/>
      <c r="PHL50" s="952"/>
      <c r="PHM50" s="952"/>
      <c r="PHN50" s="952"/>
      <c r="PHO50" s="952"/>
      <c r="PHP50" s="952"/>
      <c r="PHQ50" s="952"/>
      <c r="PHR50" s="952"/>
      <c r="PHS50" s="952"/>
      <c r="PHT50" s="952"/>
      <c r="PHU50" s="952"/>
      <c r="PHV50" s="952"/>
      <c r="PHW50" s="952"/>
      <c r="PHX50" s="952"/>
      <c r="PHY50" s="952"/>
      <c r="PHZ50" s="952"/>
      <c r="PIA50" s="952"/>
      <c r="PIB50" s="952"/>
      <c r="PIC50" s="952"/>
      <c r="PID50" s="952"/>
      <c r="PIE50" s="952"/>
      <c r="PIF50" s="952"/>
      <c r="PIG50" s="952"/>
      <c r="PIH50" s="952"/>
      <c r="PII50" s="952"/>
      <c r="PIJ50" s="952"/>
      <c r="PIK50" s="952"/>
      <c r="PIL50" s="952"/>
      <c r="PIM50" s="952"/>
      <c r="PIN50" s="952"/>
      <c r="PIO50" s="952"/>
      <c r="PIP50" s="952"/>
      <c r="PIQ50" s="952"/>
      <c r="PIR50" s="952"/>
      <c r="PIS50" s="952"/>
      <c r="PIT50" s="952"/>
      <c r="PIU50" s="952"/>
      <c r="PIV50" s="952"/>
      <c r="PIW50" s="952"/>
      <c r="PIX50" s="952"/>
      <c r="PIY50" s="952"/>
      <c r="PIZ50" s="952"/>
      <c r="PJA50" s="952"/>
      <c r="PJB50" s="952"/>
      <c r="PJC50" s="952"/>
      <c r="PJD50" s="952"/>
      <c r="PJE50" s="952"/>
      <c r="PJF50" s="952"/>
      <c r="PJG50" s="952"/>
      <c r="PJH50" s="952"/>
      <c r="PJI50" s="952"/>
      <c r="PJJ50" s="952"/>
      <c r="PJK50" s="952"/>
      <c r="PJL50" s="952"/>
      <c r="PJM50" s="952"/>
      <c r="PJN50" s="952"/>
      <c r="PJO50" s="952"/>
      <c r="PJP50" s="952"/>
      <c r="PJQ50" s="952"/>
      <c r="PJR50" s="952"/>
      <c r="PJS50" s="952"/>
      <c r="PJT50" s="952"/>
      <c r="PJU50" s="952"/>
      <c r="PJV50" s="952"/>
      <c r="PJW50" s="952"/>
      <c r="PJX50" s="952"/>
      <c r="PJY50" s="952"/>
      <c r="PJZ50" s="952"/>
      <c r="PKA50" s="952"/>
      <c r="PKB50" s="952"/>
      <c r="PKC50" s="952"/>
      <c r="PKD50" s="952"/>
      <c r="PKE50" s="952"/>
      <c r="PKF50" s="952"/>
      <c r="PKG50" s="952"/>
      <c r="PKH50" s="952"/>
      <c r="PKI50" s="952"/>
      <c r="PKJ50" s="952"/>
      <c r="PKK50" s="952"/>
      <c r="PKL50" s="952"/>
      <c r="PKM50" s="952"/>
      <c r="PKN50" s="952"/>
      <c r="PKO50" s="952"/>
      <c r="PKP50" s="952"/>
      <c r="PKQ50" s="952"/>
      <c r="PKR50" s="952"/>
      <c r="PKS50" s="952"/>
      <c r="PKT50" s="952"/>
      <c r="PKU50" s="952"/>
      <c r="PKV50" s="952"/>
      <c r="PKW50" s="952"/>
      <c r="PKX50" s="952"/>
      <c r="PKY50" s="952"/>
      <c r="PKZ50" s="952"/>
      <c r="PLA50" s="952"/>
      <c r="PLB50" s="952"/>
      <c r="PLC50" s="952"/>
      <c r="PLD50" s="952"/>
      <c r="PLE50" s="952"/>
      <c r="PLF50" s="952"/>
      <c r="PLG50" s="952"/>
      <c r="PLH50" s="952"/>
      <c r="PLI50" s="952"/>
      <c r="PLJ50" s="952"/>
      <c r="PLK50" s="952"/>
      <c r="PLL50" s="952"/>
      <c r="PLM50" s="952"/>
      <c r="PLN50" s="952"/>
      <c r="PLO50" s="952"/>
      <c r="PLP50" s="952"/>
      <c r="PLQ50" s="952"/>
      <c r="PLR50" s="952"/>
      <c r="PLS50" s="952"/>
      <c r="PLT50" s="952"/>
      <c r="PLU50" s="952"/>
      <c r="PLV50" s="952"/>
      <c r="PLW50" s="952"/>
      <c r="PLX50" s="952"/>
      <c r="PLY50" s="952"/>
      <c r="PLZ50" s="952"/>
      <c r="PMA50" s="952"/>
      <c r="PMB50" s="952"/>
      <c r="PMC50" s="952"/>
      <c r="PMD50" s="952"/>
      <c r="PME50" s="952"/>
      <c r="PMF50" s="952"/>
      <c r="PMG50" s="952"/>
      <c r="PMH50" s="952"/>
      <c r="PMI50" s="952"/>
      <c r="PMJ50" s="952"/>
      <c r="PMK50" s="952"/>
      <c r="PML50" s="952"/>
      <c r="PMM50" s="952"/>
      <c r="PMN50" s="952"/>
      <c r="PMO50" s="952"/>
      <c r="PMP50" s="952"/>
      <c r="PMQ50" s="952"/>
      <c r="PMR50" s="952"/>
      <c r="PMS50" s="952"/>
      <c r="PMT50" s="952"/>
      <c r="PMU50" s="952"/>
      <c r="PMV50" s="952"/>
      <c r="PMW50" s="952"/>
      <c r="PMX50" s="952"/>
      <c r="PMY50" s="952"/>
      <c r="PMZ50" s="952"/>
      <c r="PNA50" s="952"/>
      <c r="PNB50" s="952"/>
      <c r="PNC50" s="952"/>
      <c r="PND50" s="952"/>
      <c r="PNE50" s="952"/>
      <c r="PNF50" s="952"/>
      <c r="PNG50" s="952"/>
      <c r="PNH50" s="952"/>
      <c r="PNI50" s="952"/>
      <c r="PNJ50" s="952"/>
      <c r="PNK50" s="952"/>
      <c r="PNL50" s="952"/>
      <c r="PNM50" s="952"/>
      <c r="PNN50" s="952"/>
      <c r="PNO50" s="952"/>
      <c r="PNP50" s="952"/>
      <c r="PNQ50" s="952"/>
      <c r="PNR50" s="952"/>
      <c r="PNS50" s="952"/>
      <c r="PNT50" s="952"/>
      <c r="PNU50" s="952"/>
      <c r="PNV50" s="952"/>
      <c r="PNW50" s="952"/>
      <c r="PNX50" s="952"/>
      <c r="PNY50" s="952"/>
      <c r="PNZ50" s="952"/>
      <c r="POA50" s="952"/>
      <c r="POB50" s="952"/>
      <c r="POC50" s="952"/>
      <c r="POD50" s="952"/>
      <c r="POE50" s="952"/>
      <c r="POF50" s="952"/>
      <c r="POG50" s="952"/>
      <c r="POH50" s="952"/>
      <c r="POI50" s="952"/>
      <c r="POJ50" s="952"/>
      <c r="POK50" s="952"/>
      <c r="POL50" s="952"/>
      <c r="POM50" s="952"/>
      <c r="PON50" s="952"/>
      <c r="POO50" s="952"/>
      <c r="POP50" s="952"/>
      <c r="POQ50" s="952"/>
      <c r="POR50" s="952"/>
      <c r="POS50" s="952"/>
      <c r="POT50" s="952"/>
      <c r="POU50" s="952"/>
      <c r="POV50" s="952"/>
      <c r="POW50" s="952"/>
      <c r="POX50" s="952"/>
      <c r="POY50" s="952"/>
      <c r="POZ50" s="952"/>
      <c r="PPA50" s="952"/>
      <c r="PPB50" s="952"/>
      <c r="PPC50" s="952"/>
      <c r="PPD50" s="952"/>
      <c r="PPE50" s="952"/>
      <c r="PPF50" s="952"/>
      <c r="PPG50" s="952"/>
      <c r="PPH50" s="952"/>
      <c r="PPI50" s="952"/>
      <c r="PPJ50" s="952"/>
      <c r="PPK50" s="952"/>
      <c r="PPL50" s="952"/>
      <c r="PPM50" s="952"/>
      <c r="PPN50" s="952"/>
      <c r="PPO50" s="952"/>
      <c r="PPP50" s="952"/>
      <c r="PPQ50" s="952"/>
      <c r="PPR50" s="952"/>
      <c r="PPS50" s="952"/>
      <c r="PPT50" s="952"/>
      <c r="PPU50" s="952"/>
      <c r="PPV50" s="952"/>
      <c r="PPW50" s="952"/>
      <c r="PPX50" s="952"/>
      <c r="PPY50" s="952"/>
      <c r="PPZ50" s="952"/>
      <c r="PQA50" s="952"/>
      <c r="PQB50" s="952"/>
      <c r="PQC50" s="952"/>
      <c r="PQD50" s="952"/>
      <c r="PQE50" s="952"/>
      <c r="PQF50" s="952"/>
      <c r="PQG50" s="952"/>
      <c r="PQH50" s="952"/>
      <c r="PQI50" s="952"/>
      <c r="PQJ50" s="952"/>
      <c r="PQK50" s="952"/>
      <c r="PQL50" s="952"/>
      <c r="PQM50" s="952"/>
      <c r="PQN50" s="952"/>
      <c r="PQO50" s="952"/>
      <c r="PQP50" s="952"/>
      <c r="PQQ50" s="952"/>
      <c r="PQR50" s="952"/>
      <c r="PQS50" s="952"/>
      <c r="PQT50" s="952"/>
      <c r="PQU50" s="952"/>
      <c r="PQV50" s="952"/>
      <c r="PQW50" s="952"/>
      <c r="PQX50" s="952"/>
      <c r="PQY50" s="952"/>
      <c r="PQZ50" s="952"/>
      <c r="PRA50" s="952"/>
      <c r="PRB50" s="952"/>
      <c r="PRC50" s="952"/>
      <c r="PRD50" s="952"/>
      <c r="PRE50" s="952"/>
      <c r="PRF50" s="952"/>
      <c r="PRG50" s="952"/>
      <c r="PRH50" s="952"/>
      <c r="PRI50" s="952"/>
      <c r="PRJ50" s="952"/>
      <c r="PRK50" s="952"/>
      <c r="PRL50" s="952"/>
      <c r="PRM50" s="952"/>
      <c r="PRN50" s="952"/>
      <c r="PRO50" s="952"/>
      <c r="PRP50" s="952"/>
      <c r="PRQ50" s="952"/>
      <c r="PRR50" s="952"/>
      <c r="PRS50" s="952"/>
      <c r="PRT50" s="952"/>
      <c r="PRU50" s="952"/>
      <c r="PRV50" s="952"/>
      <c r="PRW50" s="952"/>
      <c r="PRX50" s="952"/>
      <c r="PRY50" s="952"/>
      <c r="PRZ50" s="952"/>
      <c r="PSA50" s="952"/>
      <c r="PSB50" s="952"/>
      <c r="PSC50" s="952"/>
      <c r="PSD50" s="952"/>
      <c r="PSE50" s="952"/>
      <c r="PSF50" s="952"/>
      <c r="PSG50" s="952"/>
      <c r="PSH50" s="952"/>
      <c r="PSI50" s="952"/>
      <c r="PSJ50" s="952"/>
      <c r="PSK50" s="952"/>
      <c r="PSL50" s="952"/>
      <c r="PSM50" s="952"/>
      <c r="PSN50" s="952"/>
      <c r="PSO50" s="952"/>
      <c r="PSP50" s="952"/>
      <c r="PSQ50" s="952"/>
      <c r="PSR50" s="952"/>
      <c r="PSS50" s="952"/>
      <c r="PST50" s="952"/>
      <c r="PSU50" s="952"/>
      <c r="PSV50" s="952"/>
      <c r="PSW50" s="952"/>
      <c r="PSX50" s="952"/>
      <c r="PSY50" s="952"/>
      <c r="PSZ50" s="952"/>
      <c r="PTA50" s="952"/>
      <c r="PTB50" s="952"/>
      <c r="PTC50" s="952"/>
      <c r="PTD50" s="952"/>
      <c r="PTE50" s="952"/>
      <c r="PTF50" s="952"/>
      <c r="PTG50" s="952"/>
      <c r="PTH50" s="952"/>
      <c r="PTI50" s="952"/>
      <c r="PTJ50" s="952"/>
      <c r="PTK50" s="952"/>
      <c r="PTL50" s="952"/>
      <c r="PTM50" s="952"/>
      <c r="PTN50" s="952"/>
      <c r="PTO50" s="952"/>
      <c r="PTP50" s="952"/>
      <c r="PTQ50" s="952"/>
      <c r="PTR50" s="952"/>
      <c r="PTS50" s="952"/>
      <c r="PTT50" s="952"/>
      <c r="PTU50" s="952"/>
      <c r="PTV50" s="952"/>
      <c r="PTW50" s="952"/>
      <c r="PTX50" s="952"/>
      <c r="PTY50" s="952"/>
      <c r="PTZ50" s="952"/>
      <c r="PUA50" s="952"/>
      <c r="PUB50" s="952"/>
      <c r="PUC50" s="952"/>
      <c r="PUD50" s="952"/>
      <c r="PUE50" s="952"/>
      <c r="PUF50" s="952"/>
      <c r="PUG50" s="952"/>
      <c r="PUH50" s="952"/>
      <c r="PUI50" s="952"/>
      <c r="PUJ50" s="952"/>
      <c r="PUK50" s="952"/>
      <c r="PUL50" s="952"/>
      <c r="PUM50" s="952"/>
      <c r="PUN50" s="952"/>
      <c r="PUO50" s="952"/>
      <c r="PUP50" s="952"/>
      <c r="PUQ50" s="952"/>
      <c r="PUR50" s="952"/>
      <c r="PUS50" s="952"/>
      <c r="PUT50" s="952"/>
      <c r="PUU50" s="952"/>
      <c r="PUV50" s="952"/>
      <c r="PUW50" s="952"/>
      <c r="PUX50" s="952"/>
      <c r="PUY50" s="952"/>
      <c r="PUZ50" s="952"/>
      <c r="PVA50" s="952"/>
      <c r="PVB50" s="952"/>
      <c r="PVC50" s="952"/>
      <c r="PVD50" s="952"/>
      <c r="PVE50" s="952"/>
      <c r="PVF50" s="952"/>
      <c r="PVG50" s="952"/>
      <c r="PVH50" s="952"/>
      <c r="PVI50" s="952"/>
      <c r="PVJ50" s="952"/>
      <c r="PVK50" s="952"/>
      <c r="PVL50" s="952"/>
      <c r="PVM50" s="952"/>
      <c r="PVN50" s="952"/>
      <c r="PVO50" s="952"/>
      <c r="PVP50" s="952"/>
      <c r="PVQ50" s="952"/>
      <c r="PVR50" s="952"/>
      <c r="PVS50" s="952"/>
      <c r="PVT50" s="952"/>
      <c r="PVU50" s="952"/>
      <c r="PVV50" s="952"/>
      <c r="PVW50" s="952"/>
      <c r="PVX50" s="952"/>
      <c r="PVY50" s="952"/>
      <c r="PVZ50" s="952"/>
      <c r="PWA50" s="952"/>
      <c r="PWB50" s="952"/>
      <c r="PWC50" s="952"/>
      <c r="PWD50" s="952"/>
      <c r="PWE50" s="952"/>
      <c r="PWF50" s="952"/>
      <c r="PWG50" s="952"/>
      <c r="PWH50" s="952"/>
      <c r="PWI50" s="952"/>
      <c r="PWJ50" s="952"/>
      <c r="PWK50" s="952"/>
      <c r="PWL50" s="952"/>
      <c r="PWM50" s="952"/>
      <c r="PWN50" s="952"/>
      <c r="PWO50" s="952"/>
      <c r="PWP50" s="952"/>
      <c r="PWQ50" s="952"/>
      <c r="PWR50" s="952"/>
      <c r="PWS50" s="952"/>
      <c r="PWT50" s="952"/>
      <c r="PWU50" s="952"/>
      <c r="PWV50" s="952"/>
      <c r="PWW50" s="952"/>
      <c r="PWX50" s="952"/>
      <c r="PWY50" s="952"/>
      <c r="PWZ50" s="952"/>
      <c r="PXA50" s="952"/>
      <c r="PXB50" s="952"/>
      <c r="PXC50" s="952"/>
      <c r="PXD50" s="952"/>
      <c r="PXE50" s="952"/>
      <c r="PXF50" s="952"/>
      <c r="PXG50" s="952"/>
      <c r="PXH50" s="952"/>
      <c r="PXI50" s="952"/>
      <c r="PXJ50" s="952"/>
      <c r="PXK50" s="952"/>
      <c r="PXL50" s="952"/>
      <c r="PXM50" s="952"/>
      <c r="PXN50" s="952"/>
      <c r="PXO50" s="952"/>
      <c r="PXP50" s="952"/>
      <c r="PXQ50" s="952"/>
      <c r="PXR50" s="952"/>
      <c r="PXS50" s="952"/>
      <c r="PXT50" s="952"/>
      <c r="PXU50" s="952"/>
      <c r="PXV50" s="952"/>
      <c r="PXW50" s="952"/>
      <c r="PXX50" s="952"/>
      <c r="PXY50" s="952"/>
      <c r="PXZ50" s="952"/>
      <c r="PYA50" s="952"/>
      <c r="PYB50" s="952"/>
      <c r="PYC50" s="952"/>
      <c r="PYD50" s="952"/>
      <c r="PYE50" s="952"/>
      <c r="PYF50" s="952"/>
      <c r="PYG50" s="952"/>
      <c r="PYH50" s="952"/>
      <c r="PYI50" s="952"/>
      <c r="PYJ50" s="952"/>
      <c r="PYK50" s="952"/>
      <c r="PYL50" s="952"/>
      <c r="PYM50" s="952"/>
      <c r="PYN50" s="952"/>
      <c r="PYO50" s="952"/>
      <c r="PYP50" s="952"/>
      <c r="PYQ50" s="952"/>
      <c r="PYR50" s="952"/>
      <c r="PYS50" s="952"/>
      <c r="PYT50" s="952"/>
      <c r="PYU50" s="952"/>
      <c r="PYV50" s="952"/>
      <c r="PYW50" s="952"/>
      <c r="PYX50" s="952"/>
      <c r="PYY50" s="952"/>
      <c r="PYZ50" s="952"/>
      <c r="PZA50" s="952"/>
      <c r="PZB50" s="952"/>
      <c r="PZC50" s="952"/>
      <c r="PZD50" s="952"/>
      <c r="PZE50" s="952"/>
      <c r="PZF50" s="952"/>
      <c r="PZG50" s="952"/>
      <c r="PZH50" s="952"/>
      <c r="PZI50" s="952"/>
      <c r="PZJ50" s="952"/>
      <c r="PZK50" s="952"/>
      <c r="PZL50" s="952"/>
      <c r="PZM50" s="952"/>
      <c r="PZN50" s="952"/>
      <c r="PZO50" s="952"/>
      <c r="PZP50" s="952"/>
      <c r="PZQ50" s="952"/>
      <c r="PZR50" s="952"/>
      <c r="PZS50" s="952"/>
      <c r="PZT50" s="952"/>
      <c r="PZU50" s="952"/>
      <c r="PZV50" s="952"/>
      <c r="PZW50" s="952"/>
      <c r="PZX50" s="952"/>
      <c r="PZY50" s="952"/>
      <c r="PZZ50" s="952"/>
      <c r="QAA50" s="952"/>
      <c r="QAB50" s="952"/>
      <c r="QAC50" s="952"/>
      <c r="QAD50" s="952"/>
      <c r="QAE50" s="952"/>
      <c r="QAF50" s="952"/>
      <c r="QAG50" s="952"/>
      <c r="QAH50" s="952"/>
      <c r="QAI50" s="952"/>
      <c r="QAJ50" s="952"/>
      <c r="QAK50" s="952"/>
      <c r="QAL50" s="952"/>
      <c r="QAM50" s="952"/>
      <c r="QAN50" s="952"/>
      <c r="QAO50" s="952"/>
      <c r="QAP50" s="952"/>
      <c r="QAQ50" s="952"/>
      <c r="QAR50" s="952"/>
      <c r="QAS50" s="952"/>
      <c r="QAT50" s="952"/>
      <c r="QAU50" s="952"/>
      <c r="QAV50" s="952"/>
      <c r="QAW50" s="952"/>
      <c r="QAX50" s="952"/>
      <c r="QAY50" s="952"/>
      <c r="QAZ50" s="952"/>
      <c r="QBA50" s="952"/>
      <c r="QBB50" s="952"/>
      <c r="QBC50" s="952"/>
      <c r="QBD50" s="952"/>
      <c r="QBE50" s="952"/>
      <c r="QBF50" s="952"/>
      <c r="QBG50" s="952"/>
      <c r="QBH50" s="952"/>
      <c r="QBI50" s="952"/>
      <c r="QBJ50" s="952"/>
      <c r="QBK50" s="952"/>
      <c r="QBL50" s="952"/>
      <c r="QBM50" s="952"/>
      <c r="QBN50" s="952"/>
      <c r="QBO50" s="952"/>
      <c r="QBP50" s="952"/>
      <c r="QBQ50" s="952"/>
      <c r="QBR50" s="952"/>
      <c r="QBS50" s="952"/>
      <c r="QBT50" s="952"/>
      <c r="QBU50" s="952"/>
      <c r="QBV50" s="952"/>
      <c r="QBW50" s="952"/>
      <c r="QBX50" s="952"/>
      <c r="QBY50" s="952"/>
      <c r="QBZ50" s="952"/>
      <c r="QCA50" s="952"/>
      <c r="QCB50" s="952"/>
      <c r="QCC50" s="952"/>
      <c r="QCD50" s="952"/>
      <c r="QCE50" s="952"/>
      <c r="QCF50" s="952"/>
      <c r="QCG50" s="952"/>
      <c r="QCH50" s="952"/>
      <c r="QCI50" s="952"/>
      <c r="QCJ50" s="952"/>
      <c r="QCK50" s="952"/>
      <c r="QCL50" s="952"/>
      <c r="QCM50" s="952"/>
      <c r="QCN50" s="952"/>
      <c r="QCO50" s="952"/>
      <c r="QCP50" s="952"/>
      <c r="QCQ50" s="952"/>
      <c r="QCR50" s="952"/>
      <c r="QCS50" s="952"/>
      <c r="QCT50" s="952"/>
      <c r="QCU50" s="952"/>
      <c r="QCV50" s="952"/>
      <c r="QCW50" s="952"/>
      <c r="QCX50" s="952"/>
      <c r="QCY50" s="952"/>
      <c r="QCZ50" s="952"/>
      <c r="QDA50" s="952"/>
      <c r="QDB50" s="952"/>
      <c r="QDC50" s="952"/>
      <c r="QDD50" s="952"/>
      <c r="QDE50" s="952"/>
      <c r="QDF50" s="952"/>
      <c r="QDG50" s="952"/>
      <c r="QDH50" s="952"/>
      <c r="QDI50" s="952"/>
      <c r="QDJ50" s="952"/>
      <c r="QDK50" s="952"/>
      <c r="QDL50" s="952"/>
      <c r="QDM50" s="952"/>
      <c r="QDN50" s="952"/>
      <c r="QDO50" s="952"/>
      <c r="QDP50" s="952"/>
      <c r="QDQ50" s="952"/>
      <c r="QDR50" s="952"/>
      <c r="QDS50" s="952"/>
      <c r="QDT50" s="952"/>
      <c r="QDU50" s="952"/>
      <c r="QDV50" s="952"/>
      <c r="QDW50" s="952"/>
      <c r="QDX50" s="952"/>
      <c r="QDY50" s="952"/>
      <c r="QDZ50" s="952"/>
      <c r="QEA50" s="952"/>
      <c r="QEB50" s="952"/>
      <c r="QEC50" s="952"/>
      <c r="QED50" s="952"/>
      <c r="QEE50" s="952"/>
      <c r="QEF50" s="952"/>
      <c r="QEG50" s="952"/>
      <c r="QEH50" s="952"/>
      <c r="QEI50" s="952"/>
      <c r="QEJ50" s="952"/>
      <c r="QEK50" s="952"/>
      <c r="QEL50" s="952"/>
      <c r="QEM50" s="952"/>
      <c r="QEN50" s="952"/>
      <c r="QEO50" s="952"/>
      <c r="QEP50" s="952"/>
      <c r="QEQ50" s="952"/>
      <c r="QER50" s="952"/>
      <c r="QES50" s="952"/>
      <c r="QET50" s="952"/>
      <c r="QEU50" s="952"/>
      <c r="QEV50" s="952"/>
      <c r="QEW50" s="952"/>
      <c r="QEX50" s="952"/>
      <c r="QEY50" s="952"/>
      <c r="QEZ50" s="952"/>
      <c r="QFA50" s="952"/>
      <c r="QFB50" s="952"/>
      <c r="QFC50" s="952"/>
      <c r="QFD50" s="952"/>
      <c r="QFE50" s="952"/>
      <c r="QFF50" s="952"/>
      <c r="QFG50" s="952"/>
      <c r="QFH50" s="952"/>
      <c r="QFI50" s="952"/>
      <c r="QFJ50" s="952"/>
      <c r="QFK50" s="952"/>
      <c r="QFL50" s="952"/>
      <c r="QFM50" s="952"/>
      <c r="QFN50" s="952"/>
      <c r="QFO50" s="952"/>
      <c r="QFP50" s="952"/>
      <c r="QFQ50" s="952"/>
      <c r="QFR50" s="952"/>
      <c r="QFS50" s="952"/>
      <c r="QFT50" s="952"/>
      <c r="QFU50" s="952"/>
      <c r="QFV50" s="952"/>
      <c r="QFW50" s="952"/>
      <c r="QFX50" s="952"/>
      <c r="QFY50" s="952"/>
      <c r="QFZ50" s="952"/>
      <c r="QGA50" s="952"/>
      <c r="QGB50" s="952"/>
      <c r="QGC50" s="952"/>
      <c r="QGD50" s="952"/>
      <c r="QGE50" s="952"/>
      <c r="QGF50" s="952"/>
      <c r="QGG50" s="952"/>
      <c r="QGH50" s="952"/>
      <c r="QGI50" s="952"/>
      <c r="QGJ50" s="952"/>
      <c r="QGK50" s="952"/>
      <c r="QGL50" s="952"/>
      <c r="QGM50" s="952"/>
      <c r="QGN50" s="952"/>
      <c r="QGO50" s="952"/>
      <c r="QGP50" s="952"/>
      <c r="QGQ50" s="952"/>
      <c r="QGR50" s="952"/>
      <c r="QGS50" s="952"/>
      <c r="QGT50" s="952"/>
      <c r="QGU50" s="952"/>
      <c r="QGV50" s="952"/>
      <c r="QGW50" s="952"/>
      <c r="QGX50" s="952"/>
      <c r="QGY50" s="952"/>
      <c r="QGZ50" s="952"/>
      <c r="QHA50" s="952"/>
      <c r="QHB50" s="952"/>
      <c r="QHC50" s="952"/>
      <c r="QHD50" s="952"/>
      <c r="QHE50" s="952"/>
      <c r="QHF50" s="952"/>
      <c r="QHG50" s="952"/>
      <c r="QHH50" s="952"/>
      <c r="QHI50" s="952"/>
      <c r="QHJ50" s="952"/>
      <c r="QHK50" s="952"/>
      <c r="QHL50" s="952"/>
      <c r="QHM50" s="952"/>
      <c r="QHN50" s="952"/>
      <c r="QHO50" s="952"/>
      <c r="QHP50" s="952"/>
      <c r="QHQ50" s="952"/>
      <c r="QHR50" s="952"/>
      <c r="QHS50" s="952"/>
      <c r="QHT50" s="952"/>
      <c r="QHU50" s="952"/>
      <c r="QHV50" s="952"/>
      <c r="QHW50" s="952"/>
      <c r="QHX50" s="952"/>
      <c r="QHY50" s="952"/>
      <c r="QHZ50" s="952"/>
      <c r="QIA50" s="952"/>
      <c r="QIB50" s="952"/>
      <c r="QIC50" s="952"/>
      <c r="QID50" s="952"/>
      <c r="QIE50" s="952"/>
      <c r="QIF50" s="952"/>
      <c r="QIG50" s="952"/>
      <c r="QIH50" s="952"/>
      <c r="QII50" s="952"/>
      <c r="QIJ50" s="952"/>
      <c r="QIK50" s="952"/>
      <c r="QIL50" s="952"/>
      <c r="QIM50" s="952"/>
      <c r="QIN50" s="952"/>
      <c r="QIO50" s="952"/>
      <c r="QIP50" s="952"/>
      <c r="QIQ50" s="952"/>
      <c r="QIR50" s="952"/>
      <c r="QIS50" s="952"/>
      <c r="QIT50" s="952"/>
      <c r="QIU50" s="952"/>
      <c r="QIV50" s="952"/>
      <c r="QIW50" s="952"/>
      <c r="QIX50" s="952"/>
      <c r="QIY50" s="952"/>
      <c r="QIZ50" s="952"/>
      <c r="QJA50" s="952"/>
      <c r="QJB50" s="952"/>
      <c r="QJC50" s="952"/>
      <c r="QJD50" s="952"/>
      <c r="QJE50" s="952"/>
      <c r="QJF50" s="952"/>
      <c r="QJG50" s="952"/>
      <c r="QJH50" s="952"/>
      <c r="QJI50" s="952"/>
      <c r="QJJ50" s="952"/>
      <c r="QJK50" s="952"/>
      <c r="QJL50" s="952"/>
      <c r="QJM50" s="952"/>
      <c r="QJN50" s="952"/>
      <c r="QJO50" s="952"/>
      <c r="QJP50" s="952"/>
      <c r="QJQ50" s="952"/>
      <c r="QJR50" s="952"/>
      <c r="QJS50" s="952"/>
      <c r="QJT50" s="952"/>
      <c r="QJU50" s="952"/>
      <c r="QJV50" s="952"/>
      <c r="QJW50" s="952"/>
      <c r="QJX50" s="952"/>
      <c r="QJY50" s="952"/>
      <c r="QJZ50" s="952"/>
      <c r="QKA50" s="952"/>
      <c r="QKB50" s="952"/>
      <c r="QKC50" s="952"/>
      <c r="QKD50" s="952"/>
      <c r="QKE50" s="952"/>
      <c r="QKF50" s="952"/>
      <c r="QKG50" s="952"/>
      <c r="QKH50" s="952"/>
      <c r="QKI50" s="952"/>
      <c r="QKJ50" s="952"/>
      <c r="QKK50" s="952"/>
      <c r="QKL50" s="952"/>
      <c r="QKM50" s="952"/>
      <c r="QKN50" s="952"/>
      <c r="QKO50" s="952"/>
      <c r="QKP50" s="952"/>
      <c r="QKQ50" s="952"/>
      <c r="QKR50" s="952"/>
      <c r="QKS50" s="952"/>
      <c r="QKT50" s="952"/>
      <c r="QKU50" s="952"/>
      <c r="QKV50" s="952"/>
      <c r="QKW50" s="952"/>
      <c r="QKX50" s="952"/>
      <c r="QKY50" s="952"/>
      <c r="QKZ50" s="952"/>
      <c r="QLA50" s="952"/>
      <c r="QLB50" s="952"/>
      <c r="QLC50" s="952"/>
      <c r="QLD50" s="952"/>
      <c r="QLE50" s="952"/>
      <c r="QLF50" s="952"/>
      <c r="QLG50" s="952"/>
      <c r="QLH50" s="952"/>
      <c r="QLI50" s="952"/>
      <c r="QLJ50" s="952"/>
      <c r="QLK50" s="952"/>
      <c r="QLL50" s="952"/>
      <c r="QLM50" s="952"/>
      <c r="QLN50" s="952"/>
      <c r="QLO50" s="952"/>
      <c r="QLP50" s="952"/>
      <c r="QLQ50" s="952"/>
      <c r="QLR50" s="952"/>
      <c r="QLS50" s="952"/>
      <c r="QLT50" s="952"/>
      <c r="QLU50" s="952"/>
      <c r="QLV50" s="952"/>
      <c r="QLW50" s="952"/>
      <c r="QLX50" s="952"/>
      <c r="QLY50" s="952"/>
      <c r="QLZ50" s="952"/>
      <c r="QMA50" s="952"/>
      <c r="QMB50" s="952"/>
      <c r="QMC50" s="952"/>
      <c r="QMD50" s="952"/>
      <c r="QME50" s="952"/>
      <c r="QMF50" s="952"/>
      <c r="QMG50" s="952"/>
      <c r="QMH50" s="952"/>
      <c r="QMI50" s="952"/>
      <c r="QMJ50" s="952"/>
      <c r="QMK50" s="952"/>
      <c r="QML50" s="952"/>
      <c r="QMM50" s="952"/>
      <c r="QMN50" s="952"/>
      <c r="QMO50" s="952"/>
      <c r="QMP50" s="952"/>
      <c r="QMQ50" s="952"/>
      <c r="QMR50" s="952"/>
      <c r="QMS50" s="952"/>
      <c r="QMT50" s="952"/>
      <c r="QMU50" s="952"/>
      <c r="QMV50" s="952"/>
      <c r="QMW50" s="952"/>
      <c r="QMX50" s="952"/>
      <c r="QMY50" s="952"/>
      <c r="QMZ50" s="952"/>
      <c r="QNA50" s="952"/>
      <c r="QNB50" s="952"/>
      <c r="QNC50" s="952"/>
      <c r="QND50" s="952"/>
      <c r="QNE50" s="952"/>
      <c r="QNF50" s="952"/>
      <c r="QNG50" s="952"/>
      <c r="QNH50" s="952"/>
      <c r="QNI50" s="952"/>
      <c r="QNJ50" s="952"/>
      <c r="QNK50" s="952"/>
      <c r="QNL50" s="952"/>
      <c r="QNM50" s="952"/>
      <c r="QNN50" s="952"/>
      <c r="QNO50" s="952"/>
      <c r="QNP50" s="952"/>
      <c r="QNQ50" s="952"/>
      <c r="QNR50" s="952"/>
      <c r="QNS50" s="952"/>
      <c r="QNT50" s="952"/>
      <c r="QNU50" s="952"/>
      <c r="QNV50" s="952"/>
      <c r="QNW50" s="952"/>
      <c r="QNX50" s="952"/>
      <c r="QNY50" s="952"/>
      <c r="QNZ50" s="952"/>
      <c r="QOA50" s="952"/>
      <c r="QOB50" s="952"/>
      <c r="QOC50" s="952"/>
      <c r="QOD50" s="952"/>
      <c r="QOE50" s="952"/>
      <c r="QOF50" s="952"/>
      <c r="QOG50" s="952"/>
      <c r="QOH50" s="952"/>
      <c r="QOI50" s="952"/>
      <c r="QOJ50" s="952"/>
      <c r="QOK50" s="952"/>
      <c r="QOL50" s="952"/>
      <c r="QOM50" s="952"/>
      <c r="QON50" s="952"/>
      <c r="QOO50" s="952"/>
      <c r="QOP50" s="952"/>
      <c r="QOQ50" s="952"/>
      <c r="QOR50" s="952"/>
      <c r="QOS50" s="952"/>
      <c r="QOT50" s="952"/>
      <c r="QOU50" s="952"/>
      <c r="QOV50" s="952"/>
      <c r="QOW50" s="952"/>
      <c r="QOX50" s="952"/>
      <c r="QOY50" s="952"/>
      <c r="QOZ50" s="952"/>
      <c r="QPA50" s="952"/>
      <c r="QPB50" s="952"/>
      <c r="QPC50" s="952"/>
      <c r="QPD50" s="952"/>
      <c r="QPE50" s="952"/>
      <c r="QPF50" s="952"/>
      <c r="QPG50" s="952"/>
      <c r="QPH50" s="952"/>
      <c r="QPI50" s="952"/>
      <c r="QPJ50" s="952"/>
      <c r="QPK50" s="952"/>
      <c r="QPL50" s="952"/>
      <c r="QPM50" s="952"/>
      <c r="QPN50" s="952"/>
      <c r="QPO50" s="952"/>
      <c r="QPP50" s="952"/>
      <c r="QPQ50" s="952"/>
      <c r="QPR50" s="952"/>
      <c r="QPS50" s="952"/>
      <c r="QPT50" s="952"/>
      <c r="QPU50" s="952"/>
      <c r="QPV50" s="952"/>
      <c r="QPW50" s="952"/>
      <c r="QPX50" s="952"/>
      <c r="QPY50" s="952"/>
      <c r="QPZ50" s="952"/>
      <c r="QQA50" s="952"/>
      <c r="QQB50" s="952"/>
      <c r="QQC50" s="952"/>
      <c r="QQD50" s="952"/>
      <c r="QQE50" s="952"/>
      <c r="QQF50" s="952"/>
      <c r="QQG50" s="952"/>
      <c r="QQH50" s="952"/>
      <c r="QQI50" s="952"/>
      <c r="QQJ50" s="952"/>
      <c r="QQK50" s="952"/>
      <c r="QQL50" s="952"/>
      <c r="QQM50" s="952"/>
      <c r="QQN50" s="952"/>
      <c r="QQO50" s="952"/>
      <c r="QQP50" s="952"/>
      <c r="QQQ50" s="952"/>
      <c r="QQR50" s="952"/>
      <c r="QQS50" s="952"/>
      <c r="QQT50" s="952"/>
      <c r="QQU50" s="952"/>
      <c r="QQV50" s="952"/>
      <c r="QQW50" s="952"/>
      <c r="QQX50" s="952"/>
      <c r="QQY50" s="952"/>
      <c r="QQZ50" s="952"/>
      <c r="QRA50" s="952"/>
      <c r="QRB50" s="952"/>
      <c r="QRC50" s="952"/>
      <c r="QRD50" s="952"/>
      <c r="QRE50" s="952"/>
      <c r="QRF50" s="952"/>
      <c r="QRG50" s="952"/>
      <c r="QRH50" s="952"/>
      <c r="QRI50" s="952"/>
      <c r="QRJ50" s="952"/>
      <c r="QRK50" s="952"/>
      <c r="QRL50" s="952"/>
      <c r="QRM50" s="952"/>
      <c r="QRN50" s="952"/>
      <c r="QRO50" s="952"/>
      <c r="QRP50" s="952"/>
      <c r="QRQ50" s="952"/>
      <c r="QRR50" s="952"/>
      <c r="QRS50" s="952"/>
      <c r="QRT50" s="952"/>
      <c r="QRU50" s="952"/>
      <c r="QRV50" s="952"/>
      <c r="QRW50" s="952"/>
      <c r="QRX50" s="952"/>
      <c r="QRY50" s="952"/>
      <c r="QRZ50" s="952"/>
      <c r="QSA50" s="952"/>
      <c r="QSB50" s="952"/>
      <c r="QSC50" s="952"/>
      <c r="QSD50" s="952"/>
      <c r="QSE50" s="952"/>
      <c r="QSF50" s="952"/>
      <c r="QSG50" s="952"/>
      <c r="QSH50" s="952"/>
      <c r="QSI50" s="952"/>
      <c r="QSJ50" s="952"/>
      <c r="QSK50" s="952"/>
      <c r="QSL50" s="952"/>
      <c r="QSM50" s="952"/>
      <c r="QSN50" s="952"/>
      <c r="QSO50" s="952"/>
      <c r="QSP50" s="952"/>
      <c r="QSQ50" s="952"/>
      <c r="QSR50" s="952"/>
      <c r="QSS50" s="952"/>
      <c r="QST50" s="952"/>
      <c r="QSU50" s="952"/>
      <c r="QSV50" s="952"/>
      <c r="QSW50" s="952"/>
      <c r="QSX50" s="952"/>
      <c r="QSY50" s="952"/>
      <c r="QSZ50" s="952"/>
      <c r="QTA50" s="952"/>
      <c r="QTB50" s="952"/>
      <c r="QTC50" s="952"/>
      <c r="QTD50" s="952"/>
      <c r="QTE50" s="952"/>
      <c r="QTF50" s="952"/>
      <c r="QTG50" s="952"/>
      <c r="QTH50" s="952"/>
      <c r="QTI50" s="952"/>
      <c r="QTJ50" s="952"/>
      <c r="QTK50" s="952"/>
      <c r="QTL50" s="952"/>
      <c r="QTM50" s="952"/>
      <c r="QTN50" s="952"/>
      <c r="QTO50" s="952"/>
      <c r="QTP50" s="952"/>
      <c r="QTQ50" s="952"/>
      <c r="QTR50" s="952"/>
      <c r="QTS50" s="952"/>
      <c r="QTT50" s="952"/>
      <c r="QTU50" s="952"/>
      <c r="QTV50" s="952"/>
      <c r="QTW50" s="952"/>
      <c r="QTX50" s="952"/>
      <c r="QTY50" s="952"/>
      <c r="QTZ50" s="952"/>
      <c r="QUA50" s="952"/>
      <c r="QUB50" s="952"/>
      <c r="QUC50" s="952"/>
      <c r="QUD50" s="952"/>
      <c r="QUE50" s="952"/>
      <c r="QUF50" s="952"/>
      <c r="QUG50" s="952"/>
      <c r="QUH50" s="952"/>
      <c r="QUI50" s="952"/>
      <c r="QUJ50" s="952"/>
      <c r="QUK50" s="952"/>
      <c r="QUL50" s="952"/>
      <c r="QUM50" s="952"/>
      <c r="QUN50" s="952"/>
      <c r="QUO50" s="952"/>
      <c r="QUP50" s="952"/>
      <c r="QUQ50" s="952"/>
      <c r="QUR50" s="952"/>
      <c r="QUS50" s="952"/>
      <c r="QUT50" s="952"/>
      <c r="QUU50" s="952"/>
      <c r="QUV50" s="952"/>
      <c r="QUW50" s="952"/>
      <c r="QUX50" s="952"/>
      <c r="QUY50" s="952"/>
      <c r="QUZ50" s="952"/>
      <c r="QVA50" s="952"/>
      <c r="QVB50" s="952"/>
      <c r="QVC50" s="952"/>
      <c r="QVD50" s="952"/>
      <c r="QVE50" s="952"/>
      <c r="QVF50" s="952"/>
      <c r="QVG50" s="952"/>
      <c r="QVH50" s="952"/>
      <c r="QVI50" s="952"/>
      <c r="QVJ50" s="952"/>
      <c r="QVK50" s="952"/>
      <c r="QVL50" s="952"/>
      <c r="QVM50" s="952"/>
      <c r="QVN50" s="952"/>
      <c r="QVO50" s="952"/>
      <c r="QVP50" s="952"/>
      <c r="QVQ50" s="952"/>
      <c r="QVR50" s="952"/>
      <c r="QVS50" s="952"/>
      <c r="QVT50" s="952"/>
      <c r="QVU50" s="952"/>
      <c r="QVV50" s="952"/>
      <c r="QVW50" s="952"/>
      <c r="QVX50" s="952"/>
      <c r="QVY50" s="952"/>
      <c r="QVZ50" s="952"/>
      <c r="QWA50" s="952"/>
      <c r="QWB50" s="952"/>
      <c r="QWC50" s="952"/>
      <c r="QWD50" s="952"/>
      <c r="QWE50" s="952"/>
      <c r="QWF50" s="952"/>
      <c r="QWG50" s="952"/>
      <c r="QWH50" s="952"/>
      <c r="QWI50" s="952"/>
      <c r="QWJ50" s="952"/>
      <c r="QWK50" s="952"/>
      <c r="QWL50" s="952"/>
      <c r="QWM50" s="952"/>
      <c r="QWN50" s="952"/>
      <c r="QWO50" s="952"/>
      <c r="QWP50" s="952"/>
      <c r="QWQ50" s="952"/>
      <c r="QWR50" s="952"/>
      <c r="QWS50" s="952"/>
      <c r="QWT50" s="952"/>
      <c r="QWU50" s="952"/>
      <c r="QWV50" s="952"/>
      <c r="QWW50" s="952"/>
      <c r="QWX50" s="952"/>
      <c r="QWY50" s="952"/>
      <c r="QWZ50" s="952"/>
      <c r="QXA50" s="952"/>
      <c r="QXB50" s="952"/>
      <c r="QXC50" s="952"/>
      <c r="QXD50" s="952"/>
      <c r="QXE50" s="952"/>
      <c r="QXF50" s="952"/>
      <c r="QXG50" s="952"/>
      <c r="QXH50" s="952"/>
      <c r="QXI50" s="952"/>
      <c r="QXJ50" s="952"/>
      <c r="QXK50" s="952"/>
      <c r="QXL50" s="952"/>
      <c r="QXM50" s="952"/>
      <c r="QXN50" s="952"/>
      <c r="QXO50" s="952"/>
      <c r="QXP50" s="952"/>
      <c r="QXQ50" s="952"/>
      <c r="QXR50" s="952"/>
      <c r="QXS50" s="952"/>
      <c r="QXT50" s="952"/>
      <c r="QXU50" s="952"/>
      <c r="QXV50" s="952"/>
      <c r="QXW50" s="952"/>
      <c r="QXX50" s="952"/>
      <c r="QXY50" s="952"/>
      <c r="QXZ50" s="952"/>
      <c r="QYA50" s="952"/>
      <c r="QYB50" s="952"/>
      <c r="QYC50" s="952"/>
      <c r="QYD50" s="952"/>
      <c r="QYE50" s="952"/>
      <c r="QYF50" s="952"/>
      <c r="QYG50" s="952"/>
      <c r="QYH50" s="952"/>
      <c r="QYI50" s="952"/>
      <c r="QYJ50" s="952"/>
      <c r="QYK50" s="952"/>
      <c r="QYL50" s="952"/>
      <c r="QYM50" s="952"/>
      <c r="QYN50" s="952"/>
      <c r="QYO50" s="952"/>
      <c r="QYP50" s="952"/>
      <c r="QYQ50" s="952"/>
      <c r="QYR50" s="952"/>
      <c r="QYS50" s="952"/>
      <c r="QYT50" s="952"/>
      <c r="QYU50" s="952"/>
      <c r="QYV50" s="952"/>
      <c r="QYW50" s="952"/>
      <c r="QYX50" s="952"/>
      <c r="QYY50" s="952"/>
      <c r="QYZ50" s="952"/>
      <c r="QZA50" s="952"/>
      <c r="QZB50" s="952"/>
      <c r="QZC50" s="952"/>
      <c r="QZD50" s="952"/>
      <c r="QZE50" s="952"/>
      <c r="QZF50" s="952"/>
      <c r="QZG50" s="952"/>
      <c r="QZH50" s="952"/>
      <c r="QZI50" s="952"/>
      <c r="QZJ50" s="952"/>
      <c r="QZK50" s="952"/>
      <c r="QZL50" s="952"/>
      <c r="QZM50" s="952"/>
      <c r="QZN50" s="952"/>
      <c r="QZO50" s="952"/>
      <c r="QZP50" s="952"/>
      <c r="QZQ50" s="952"/>
      <c r="QZR50" s="952"/>
      <c r="QZS50" s="952"/>
      <c r="QZT50" s="952"/>
      <c r="QZU50" s="952"/>
      <c r="QZV50" s="952"/>
      <c r="QZW50" s="952"/>
      <c r="QZX50" s="952"/>
      <c r="QZY50" s="952"/>
      <c r="QZZ50" s="952"/>
      <c r="RAA50" s="952"/>
      <c r="RAB50" s="952"/>
      <c r="RAC50" s="952"/>
      <c r="RAD50" s="952"/>
      <c r="RAE50" s="952"/>
      <c r="RAF50" s="952"/>
      <c r="RAG50" s="952"/>
      <c r="RAH50" s="952"/>
      <c r="RAI50" s="952"/>
      <c r="RAJ50" s="952"/>
      <c r="RAK50" s="952"/>
      <c r="RAL50" s="952"/>
      <c r="RAM50" s="952"/>
      <c r="RAN50" s="952"/>
      <c r="RAO50" s="952"/>
      <c r="RAP50" s="952"/>
      <c r="RAQ50" s="952"/>
      <c r="RAR50" s="952"/>
      <c r="RAS50" s="952"/>
      <c r="RAT50" s="952"/>
      <c r="RAU50" s="952"/>
      <c r="RAV50" s="952"/>
      <c r="RAW50" s="952"/>
      <c r="RAX50" s="952"/>
      <c r="RAY50" s="952"/>
      <c r="RAZ50" s="952"/>
      <c r="RBA50" s="952"/>
      <c r="RBB50" s="952"/>
      <c r="RBC50" s="952"/>
      <c r="RBD50" s="952"/>
      <c r="RBE50" s="952"/>
      <c r="RBF50" s="952"/>
      <c r="RBG50" s="952"/>
      <c r="RBH50" s="952"/>
      <c r="RBI50" s="952"/>
      <c r="RBJ50" s="952"/>
      <c r="RBK50" s="952"/>
      <c r="RBL50" s="952"/>
      <c r="RBM50" s="952"/>
      <c r="RBN50" s="952"/>
      <c r="RBO50" s="952"/>
      <c r="RBP50" s="952"/>
      <c r="RBQ50" s="952"/>
      <c r="RBR50" s="952"/>
      <c r="RBS50" s="952"/>
      <c r="RBT50" s="952"/>
      <c r="RBU50" s="952"/>
      <c r="RBV50" s="952"/>
      <c r="RBW50" s="952"/>
      <c r="RBX50" s="952"/>
      <c r="RBY50" s="952"/>
      <c r="RBZ50" s="952"/>
      <c r="RCA50" s="952"/>
      <c r="RCB50" s="952"/>
      <c r="RCC50" s="952"/>
      <c r="RCD50" s="952"/>
      <c r="RCE50" s="952"/>
      <c r="RCF50" s="952"/>
      <c r="RCG50" s="952"/>
      <c r="RCH50" s="952"/>
      <c r="RCI50" s="952"/>
      <c r="RCJ50" s="952"/>
      <c r="RCK50" s="952"/>
      <c r="RCL50" s="952"/>
      <c r="RCM50" s="952"/>
      <c r="RCN50" s="952"/>
      <c r="RCO50" s="952"/>
      <c r="RCP50" s="952"/>
      <c r="RCQ50" s="952"/>
      <c r="RCR50" s="952"/>
      <c r="RCS50" s="952"/>
      <c r="RCT50" s="952"/>
      <c r="RCU50" s="952"/>
      <c r="RCV50" s="952"/>
      <c r="RCW50" s="952"/>
      <c r="RCX50" s="952"/>
      <c r="RCY50" s="952"/>
      <c r="RCZ50" s="952"/>
      <c r="RDA50" s="952"/>
      <c r="RDB50" s="952"/>
      <c r="RDC50" s="952"/>
      <c r="RDD50" s="952"/>
      <c r="RDE50" s="952"/>
      <c r="RDF50" s="952"/>
      <c r="RDG50" s="952"/>
      <c r="RDH50" s="952"/>
      <c r="RDI50" s="952"/>
      <c r="RDJ50" s="952"/>
      <c r="RDK50" s="952"/>
      <c r="RDL50" s="952"/>
      <c r="RDM50" s="952"/>
      <c r="RDN50" s="952"/>
      <c r="RDO50" s="952"/>
      <c r="RDP50" s="952"/>
      <c r="RDQ50" s="952"/>
      <c r="RDR50" s="952"/>
      <c r="RDS50" s="952"/>
      <c r="RDT50" s="952"/>
      <c r="RDU50" s="952"/>
      <c r="RDV50" s="952"/>
      <c r="RDW50" s="952"/>
      <c r="RDX50" s="952"/>
      <c r="RDY50" s="952"/>
      <c r="RDZ50" s="952"/>
      <c r="REA50" s="952"/>
      <c r="REB50" s="952"/>
      <c r="REC50" s="952"/>
      <c r="RED50" s="952"/>
      <c r="REE50" s="952"/>
      <c r="REF50" s="952"/>
      <c r="REG50" s="952"/>
      <c r="REH50" s="952"/>
      <c r="REI50" s="952"/>
      <c r="REJ50" s="952"/>
      <c r="REK50" s="952"/>
      <c r="REL50" s="952"/>
      <c r="REM50" s="952"/>
      <c r="REN50" s="952"/>
      <c r="REO50" s="952"/>
      <c r="REP50" s="952"/>
      <c r="REQ50" s="952"/>
      <c r="RER50" s="952"/>
      <c r="RES50" s="952"/>
      <c r="RET50" s="952"/>
      <c r="REU50" s="952"/>
      <c r="REV50" s="952"/>
      <c r="REW50" s="952"/>
      <c r="REX50" s="952"/>
      <c r="REY50" s="952"/>
      <c r="REZ50" s="952"/>
      <c r="RFA50" s="952"/>
      <c r="RFB50" s="952"/>
      <c r="RFC50" s="952"/>
      <c r="RFD50" s="952"/>
      <c r="RFE50" s="952"/>
      <c r="RFF50" s="952"/>
      <c r="RFG50" s="952"/>
      <c r="RFH50" s="952"/>
      <c r="RFI50" s="952"/>
      <c r="RFJ50" s="952"/>
      <c r="RFK50" s="952"/>
      <c r="RFL50" s="952"/>
      <c r="RFM50" s="952"/>
      <c r="RFN50" s="952"/>
      <c r="RFO50" s="952"/>
      <c r="RFP50" s="952"/>
      <c r="RFQ50" s="952"/>
      <c r="RFR50" s="952"/>
      <c r="RFS50" s="952"/>
      <c r="RFT50" s="952"/>
      <c r="RFU50" s="952"/>
      <c r="RFV50" s="952"/>
      <c r="RFW50" s="952"/>
      <c r="RFX50" s="952"/>
      <c r="RFY50" s="952"/>
      <c r="RFZ50" s="952"/>
      <c r="RGA50" s="952"/>
      <c r="RGB50" s="952"/>
      <c r="RGC50" s="952"/>
      <c r="RGD50" s="952"/>
      <c r="RGE50" s="952"/>
      <c r="RGF50" s="952"/>
      <c r="RGG50" s="952"/>
      <c r="RGH50" s="952"/>
      <c r="RGI50" s="952"/>
      <c r="RGJ50" s="952"/>
      <c r="RGK50" s="952"/>
      <c r="RGL50" s="952"/>
      <c r="RGM50" s="952"/>
      <c r="RGN50" s="952"/>
      <c r="RGO50" s="952"/>
      <c r="RGP50" s="952"/>
      <c r="RGQ50" s="952"/>
      <c r="RGR50" s="952"/>
      <c r="RGS50" s="952"/>
      <c r="RGT50" s="952"/>
      <c r="RGU50" s="952"/>
      <c r="RGV50" s="952"/>
      <c r="RGW50" s="952"/>
      <c r="RGX50" s="952"/>
      <c r="RGY50" s="952"/>
      <c r="RGZ50" s="952"/>
      <c r="RHA50" s="952"/>
      <c r="RHB50" s="952"/>
      <c r="RHC50" s="952"/>
      <c r="RHD50" s="952"/>
      <c r="RHE50" s="952"/>
      <c r="RHF50" s="952"/>
      <c r="RHG50" s="952"/>
      <c r="RHH50" s="952"/>
      <c r="RHI50" s="952"/>
      <c r="RHJ50" s="952"/>
      <c r="RHK50" s="952"/>
      <c r="RHL50" s="952"/>
      <c r="RHM50" s="952"/>
      <c r="RHN50" s="952"/>
      <c r="RHO50" s="952"/>
      <c r="RHP50" s="952"/>
      <c r="RHQ50" s="952"/>
      <c r="RHR50" s="952"/>
      <c r="RHS50" s="952"/>
      <c r="RHT50" s="952"/>
      <c r="RHU50" s="952"/>
      <c r="RHV50" s="952"/>
      <c r="RHW50" s="952"/>
      <c r="RHX50" s="952"/>
      <c r="RHY50" s="952"/>
      <c r="RHZ50" s="952"/>
      <c r="RIA50" s="952"/>
      <c r="RIB50" s="952"/>
      <c r="RIC50" s="952"/>
      <c r="RID50" s="952"/>
      <c r="RIE50" s="952"/>
      <c r="RIF50" s="952"/>
      <c r="RIG50" s="952"/>
      <c r="RIH50" s="952"/>
      <c r="RII50" s="952"/>
      <c r="RIJ50" s="952"/>
      <c r="RIK50" s="952"/>
      <c r="RIL50" s="952"/>
      <c r="RIM50" s="952"/>
      <c r="RIN50" s="952"/>
      <c r="RIO50" s="952"/>
      <c r="RIP50" s="952"/>
      <c r="RIQ50" s="952"/>
      <c r="RIR50" s="952"/>
      <c r="RIS50" s="952"/>
      <c r="RIT50" s="952"/>
      <c r="RIU50" s="952"/>
      <c r="RIV50" s="952"/>
      <c r="RIW50" s="952"/>
      <c r="RIX50" s="952"/>
      <c r="RIY50" s="952"/>
      <c r="RIZ50" s="952"/>
      <c r="RJA50" s="952"/>
      <c r="RJB50" s="952"/>
      <c r="RJC50" s="952"/>
      <c r="RJD50" s="952"/>
      <c r="RJE50" s="952"/>
      <c r="RJF50" s="952"/>
      <c r="RJG50" s="952"/>
      <c r="RJH50" s="952"/>
      <c r="RJI50" s="952"/>
      <c r="RJJ50" s="952"/>
      <c r="RJK50" s="952"/>
      <c r="RJL50" s="952"/>
      <c r="RJM50" s="952"/>
      <c r="RJN50" s="952"/>
      <c r="RJO50" s="952"/>
      <c r="RJP50" s="952"/>
      <c r="RJQ50" s="952"/>
      <c r="RJR50" s="952"/>
      <c r="RJS50" s="952"/>
      <c r="RJT50" s="952"/>
      <c r="RJU50" s="952"/>
      <c r="RJV50" s="952"/>
      <c r="RJW50" s="952"/>
      <c r="RJX50" s="952"/>
      <c r="RJY50" s="952"/>
      <c r="RJZ50" s="952"/>
      <c r="RKA50" s="952"/>
      <c r="RKB50" s="952"/>
      <c r="RKC50" s="952"/>
      <c r="RKD50" s="952"/>
      <c r="RKE50" s="952"/>
      <c r="RKF50" s="952"/>
      <c r="RKG50" s="952"/>
      <c r="RKH50" s="952"/>
      <c r="RKI50" s="952"/>
      <c r="RKJ50" s="952"/>
      <c r="RKK50" s="952"/>
      <c r="RKL50" s="952"/>
      <c r="RKM50" s="952"/>
      <c r="RKN50" s="952"/>
      <c r="RKO50" s="952"/>
      <c r="RKP50" s="952"/>
      <c r="RKQ50" s="952"/>
      <c r="RKR50" s="952"/>
      <c r="RKS50" s="952"/>
      <c r="RKT50" s="952"/>
      <c r="RKU50" s="952"/>
      <c r="RKV50" s="952"/>
      <c r="RKW50" s="952"/>
      <c r="RKX50" s="952"/>
      <c r="RKY50" s="952"/>
      <c r="RKZ50" s="952"/>
      <c r="RLA50" s="952"/>
      <c r="RLB50" s="952"/>
      <c r="RLC50" s="952"/>
      <c r="RLD50" s="952"/>
      <c r="RLE50" s="952"/>
      <c r="RLF50" s="952"/>
      <c r="RLG50" s="952"/>
      <c r="RLH50" s="952"/>
      <c r="RLI50" s="952"/>
      <c r="RLJ50" s="952"/>
      <c r="RLK50" s="952"/>
      <c r="RLL50" s="952"/>
      <c r="RLM50" s="952"/>
      <c r="RLN50" s="952"/>
      <c r="RLO50" s="952"/>
      <c r="RLP50" s="952"/>
      <c r="RLQ50" s="952"/>
      <c r="RLR50" s="952"/>
      <c r="RLS50" s="952"/>
      <c r="RLT50" s="952"/>
      <c r="RLU50" s="952"/>
      <c r="RLV50" s="952"/>
      <c r="RLW50" s="952"/>
      <c r="RLX50" s="952"/>
      <c r="RLY50" s="952"/>
      <c r="RLZ50" s="952"/>
      <c r="RMA50" s="952"/>
      <c r="RMB50" s="952"/>
      <c r="RMC50" s="952"/>
      <c r="RMD50" s="952"/>
      <c r="RME50" s="952"/>
      <c r="RMF50" s="952"/>
      <c r="RMG50" s="952"/>
      <c r="RMH50" s="952"/>
      <c r="RMI50" s="952"/>
      <c r="RMJ50" s="952"/>
      <c r="RMK50" s="952"/>
      <c r="RML50" s="952"/>
      <c r="RMM50" s="952"/>
      <c r="RMN50" s="952"/>
      <c r="RMO50" s="952"/>
      <c r="RMP50" s="952"/>
      <c r="RMQ50" s="952"/>
      <c r="RMR50" s="952"/>
      <c r="RMS50" s="952"/>
      <c r="RMT50" s="952"/>
      <c r="RMU50" s="952"/>
      <c r="RMV50" s="952"/>
      <c r="RMW50" s="952"/>
      <c r="RMX50" s="952"/>
      <c r="RMY50" s="952"/>
      <c r="RMZ50" s="952"/>
      <c r="RNA50" s="952"/>
      <c r="RNB50" s="952"/>
      <c r="RNC50" s="952"/>
      <c r="RND50" s="952"/>
      <c r="RNE50" s="952"/>
      <c r="RNF50" s="952"/>
      <c r="RNG50" s="952"/>
      <c r="RNH50" s="952"/>
      <c r="RNI50" s="952"/>
      <c r="RNJ50" s="952"/>
      <c r="RNK50" s="952"/>
      <c r="RNL50" s="952"/>
      <c r="RNM50" s="952"/>
      <c r="RNN50" s="952"/>
      <c r="RNO50" s="952"/>
      <c r="RNP50" s="952"/>
      <c r="RNQ50" s="952"/>
      <c r="RNR50" s="952"/>
      <c r="RNS50" s="952"/>
      <c r="RNT50" s="952"/>
      <c r="RNU50" s="952"/>
      <c r="RNV50" s="952"/>
      <c r="RNW50" s="952"/>
      <c r="RNX50" s="952"/>
      <c r="RNY50" s="952"/>
      <c r="RNZ50" s="952"/>
      <c r="ROA50" s="952"/>
      <c r="ROB50" s="952"/>
      <c r="ROC50" s="952"/>
      <c r="ROD50" s="952"/>
      <c r="ROE50" s="952"/>
      <c r="ROF50" s="952"/>
      <c r="ROG50" s="952"/>
      <c r="ROH50" s="952"/>
      <c r="ROI50" s="952"/>
      <c r="ROJ50" s="952"/>
      <c r="ROK50" s="952"/>
      <c r="ROL50" s="952"/>
      <c r="ROM50" s="952"/>
      <c r="RON50" s="952"/>
      <c r="ROO50" s="952"/>
      <c r="ROP50" s="952"/>
      <c r="ROQ50" s="952"/>
      <c r="ROR50" s="952"/>
      <c r="ROS50" s="952"/>
      <c r="ROT50" s="952"/>
      <c r="ROU50" s="952"/>
      <c r="ROV50" s="952"/>
      <c r="ROW50" s="952"/>
      <c r="ROX50" s="952"/>
      <c r="ROY50" s="952"/>
      <c r="ROZ50" s="952"/>
      <c r="RPA50" s="952"/>
      <c r="RPB50" s="952"/>
      <c r="RPC50" s="952"/>
      <c r="RPD50" s="952"/>
      <c r="RPE50" s="952"/>
      <c r="RPF50" s="952"/>
      <c r="RPG50" s="952"/>
      <c r="RPH50" s="952"/>
      <c r="RPI50" s="952"/>
      <c r="RPJ50" s="952"/>
      <c r="RPK50" s="952"/>
      <c r="RPL50" s="952"/>
      <c r="RPM50" s="952"/>
      <c r="RPN50" s="952"/>
      <c r="RPO50" s="952"/>
      <c r="RPP50" s="952"/>
      <c r="RPQ50" s="952"/>
      <c r="RPR50" s="952"/>
      <c r="RPS50" s="952"/>
      <c r="RPT50" s="952"/>
      <c r="RPU50" s="952"/>
      <c r="RPV50" s="952"/>
      <c r="RPW50" s="952"/>
      <c r="RPX50" s="952"/>
      <c r="RPY50" s="952"/>
      <c r="RPZ50" s="952"/>
      <c r="RQA50" s="952"/>
      <c r="RQB50" s="952"/>
      <c r="RQC50" s="952"/>
      <c r="RQD50" s="952"/>
      <c r="RQE50" s="952"/>
      <c r="RQF50" s="952"/>
      <c r="RQG50" s="952"/>
      <c r="RQH50" s="952"/>
      <c r="RQI50" s="952"/>
      <c r="RQJ50" s="952"/>
      <c r="RQK50" s="952"/>
      <c r="RQL50" s="952"/>
      <c r="RQM50" s="952"/>
      <c r="RQN50" s="952"/>
      <c r="RQO50" s="952"/>
      <c r="RQP50" s="952"/>
      <c r="RQQ50" s="952"/>
      <c r="RQR50" s="952"/>
      <c r="RQS50" s="952"/>
      <c r="RQT50" s="952"/>
      <c r="RQU50" s="952"/>
      <c r="RQV50" s="952"/>
      <c r="RQW50" s="952"/>
      <c r="RQX50" s="952"/>
      <c r="RQY50" s="952"/>
      <c r="RQZ50" s="952"/>
      <c r="RRA50" s="952"/>
      <c r="RRB50" s="952"/>
      <c r="RRC50" s="952"/>
      <c r="RRD50" s="952"/>
      <c r="RRE50" s="952"/>
      <c r="RRF50" s="952"/>
      <c r="RRG50" s="952"/>
      <c r="RRH50" s="952"/>
      <c r="RRI50" s="952"/>
      <c r="RRJ50" s="952"/>
      <c r="RRK50" s="952"/>
      <c r="RRL50" s="952"/>
      <c r="RRM50" s="952"/>
      <c r="RRN50" s="952"/>
      <c r="RRO50" s="952"/>
      <c r="RRP50" s="952"/>
      <c r="RRQ50" s="952"/>
      <c r="RRR50" s="952"/>
      <c r="RRS50" s="952"/>
      <c r="RRT50" s="952"/>
      <c r="RRU50" s="952"/>
      <c r="RRV50" s="952"/>
      <c r="RRW50" s="952"/>
      <c r="RRX50" s="952"/>
      <c r="RRY50" s="952"/>
      <c r="RRZ50" s="952"/>
      <c r="RSA50" s="952"/>
      <c r="RSB50" s="952"/>
      <c r="RSC50" s="952"/>
      <c r="RSD50" s="952"/>
      <c r="RSE50" s="952"/>
      <c r="RSF50" s="952"/>
      <c r="RSG50" s="952"/>
      <c r="RSH50" s="952"/>
      <c r="RSI50" s="952"/>
      <c r="RSJ50" s="952"/>
      <c r="RSK50" s="952"/>
      <c r="RSL50" s="952"/>
      <c r="RSM50" s="952"/>
      <c r="RSN50" s="952"/>
      <c r="RSO50" s="952"/>
      <c r="RSP50" s="952"/>
      <c r="RSQ50" s="952"/>
      <c r="RSR50" s="952"/>
      <c r="RSS50" s="952"/>
      <c r="RST50" s="952"/>
      <c r="RSU50" s="952"/>
      <c r="RSV50" s="952"/>
      <c r="RSW50" s="952"/>
      <c r="RSX50" s="952"/>
      <c r="RSY50" s="952"/>
      <c r="RSZ50" s="952"/>
      <c r="RTA50" s="952"/>
      <c r="RTB50" s="952"/>
      <c r="RTC50" s="952"/>
      <c r="RTD50" s="952"/>
      <c r="RTE50" s="952"/>
      <c r="RTF50" s="952"/>
      <c r="RTG50" s="952"/>
      <c r="RTH50" s="952"/>
      <c r="RTI50" s="952"/>
      <c r="RTJ50" s="952"/>
      <c r="RTK50" s="952"/>
      <c r="RTL50" s="952"/>
      <c r="RTM50" s="952"/>
      <c r="RTN50" s="952"/>
      <c r="RTO50" s="952"/>
      <c r="RTP50" s="952"/>
      <c r="RTQ50" s="952"/>
      <c r="RTR50" s="952"/>
      <c r="RTS50" s="952"/>
      <c r="RTT50" s="952"/>
      <c r="RTU50" s="952"/>
      <c r="RTV50" s="952"/>
      <c r="RTW50" s="952"/>
      <c r="RTX50" s="952"/>
      <c r="RTY50" s="952"/>
      <c r="RTZ50" s="952"/>
      <c r="RUA50" s="952"/>
      <c r="RUB50" s="952"/>
      <c r="RUC50" s="952"/>
      <c r="RUD50" s="952"/>
      <c r="RUE50" s="952"/>
      <c r="RUF50" s="952"/>
      <c r="RUG50" s="952"/>
      <c r="RUH50" s="952"/>
      <c r="RUI50" s="952"/>
      <c r="RUJ50" s="952"/>
      <c r="RUK50" s="952"/>
      <c r="RUL50" s="952"/>
      <c r="RUM50" s="952"/>
      <c r="RUN50" s="952"/>
      <c r="RUO50" s="952"/>
      <c r="RUP50" s="952"/>
      <c r="RUQ50" s="952"/>
      <c r="RUR50" s="952"/>
      <c r="RUS50" s="952"/>
      <c r="RUT50" s="952"/>
      <c r="RUU50" s="952"/>
      <c r="RUV50" s="952"/>
      <c r="RUW50" s="952"/>
      <c r="RUX50" s="952"/>
      <c r="RUY50" s="952"/>
      <c r="RUZ50" s="952"/>
      <c r="RVA50" s="952"/>
      <c r="RVB50" s="952"/>
      <c r="RVC50" s="952"/>
      <c r="RVD50" s="952"/>
      <c r="RVE50" s="952"/>
      <c r="RVF50" s="952"/>
      <c r="RVG50" s="952"/>
      <c r="RVH50" s="952"/>
      <c r="RVI50" s="952"/>
      <c r="RVJ50" s="952"/>
      <c r="RVK50" s="952"/>
      <c r="RVL50" s="952"/>
      <c r="RVM50" s="952"/>
      <c r="RVN50" s="952"/>
      <c r="RVO50" s="952"/>
      <c r="RVP50" s="952"/>
      <c r="RVQ50" s="952"/>
      <c r="RVR50" s="952"/>
      <c r="RVS50" s="952"/>
      <c r="RVT50" s="952"/>
      <c r="RVU50" s="952"/>
      <c r="RVV50" s="952"/>
      <c r="RVW50" s="952"/>
      <c r="RVX50" s="952"/>
      <c r="RVY50" s="952"/>
      <c r="RVZ50" s="952"/>
      <c r="RWA50" s="952"/>
      <c r="RWB50" s="952"/>
      <c r="RWC50" s="952"/>
      <c r="RWD50" s="952"/>
      <c r="RWE50" s="952"/>
      <c r="RWF50" s="952"/>
      <c r="RWG50" s="952"/>
      <c r="RWH50" s="952"/>
      <c r="RWI50" s="952"/>
      <c r="RWJ50" s="952"/>
      <c r="RWK50" s="952"/>
      <c r="RWL50" s="952"/>
      <c r="RWM50" s="952"/>
      <c r="RWN50" s="952"/>
      <c r="RWO50" s="952"/>
      <c r="RWP50" s="952"/>
      <c r="RWQ50" s="952"/>
      <c r="RWR50" s="952"/>
      <c r="RWS50" s="952"/>
      <c r="RWT50" s="952"/>
      <c r="RWU50" s="952"/>
      <c r="RWV50" s="952"/>
      <c r="RWW50" s="952"/>
      <c r="RWX50" s="952"/>
      <c r="RWY50" s="952"/>
      <c r="RWZ50" s="952"/>
      <c r="RXA50" s="952"/>
      <c r="RXB50" s="952"/>
      <c r="RXC50" s="952"/>
      <c r="RXD50" s="952"/>
      <c r="RXE50" s="952"/>
      <c r="RXF50" s="952"/>
      <c r="RXG50" s="952"/>
      <c r="RXH50" s="952"/>
      <c r="RXI50" s="952"/>
      <c r="RXJ50" s="952"/>
      <c r="RXK50" s="952"/>
      <c r="RXL50" s="952"/>
      <c r="RXM50" s="952"/>
      <c r="RXN50" s="952"/>
      <c r="RXO50" s="952"/>
      <c r="RXP50" s="952"/>
      <c r="RXQ50" s="952"/>
      <c r="RXR50" s="952"/>
      <c r="RXS50" s="952"/>
      <c r="RXT50" s="952"/>
      <c r="RXU50" s="952"/>
      <c r="RXV50" s="952"/>
      <c r="RXW50" s="952"/>
      <c r="RXX50" s="952"/>
      <c r="RXY50" s="952"/>
      <c r="RXZ50" s="952"/>
      <c r="RYA50" s="952"/>
      <c r="RYB50" s="952"/>
      <c r="RYC50" s="952"/>
      <c r="RYD50" s="952"/>
      <c r="RYE50" s="952"/>
      <c r="RYF50" s="952"/>
      <c r="RYG50" s="952"/>
      <c r="RYH50" s="952"/>
      <c r="RYI50" s="952"/>
      <c r="RYJ50" s="952"/>
      <c r="RYK50" s="952"/>
      <c r="RYL50" s="952"/>
      <c r="RYM50" s="952"/>
      <c r="RYN50" s="952"/>
      <c r="RYO50" s="952"/>
      <c r="RYP50" s="952"/>
      <c r="RYQ50" s="952"/>
      <c r="RYR50" s="952"/>
      <c r="RYS50" s="952"/>
      <c r="RYT50" s="952"/>
      <c r="RYU50" s="952"/>
      <c r="RYV50" s="952"/>
      <c r="RYW50" s="952"/>
      <c r="RYX50" s="952"/>
      <c r="RYY50" s="952"/>
      <c r="RYZ50" s="952"/>
      <c r="RZA50" s="952"/>
      <c r="RZB50" s="952"/>
      <c r="RZC50" s="952"/>
      <c r="RZD50" s="952"/>
      <c r="RZE50" s="952"/>
      <c r="RZF50" s="952"/>
      <c r="RZG50" s="952"/>
      <c r="RZH50" s="952"/>
      <c r="RZI50" s="952"/>
      <c r="RZJ50" s="952"/>
      <c r="RZK50" s="952"/>
      <c r="RZL50" s="952"/>
      <c r="RZM50" s="952"/>
      <c r="RZN50" s="952"/>
      <c r="RZO50" s="952"/>
      <c r="RZP50" s="952"/>
      <c r="RZQ50" s="952"/>
      <c r="RZR50" s="952"/>
      <c r="RZS50" s="952"/>
      <c r="RZT50" s="952"/>
      <c r="RZU50" s="952"/>
      <c r="RZV50" s="952"/>
      <c r="RZW50" s="952"/>
      <c r="RZX50" s="952"/>
      <c r="RZY50" s="952"/>
      <c r="RZZ50" s="952"/>
      <c r="SAA50" s="952"/>
      <c r="SAB50" s="952"/>
      <c r="SAC50" s="952"/>
      <c r="SAD50" s="952"/>
      <c r="SAE50" s="952"/>
      <c r="SAF50" s="952"/>
      <c r="SAG50" s="952"/>
      <c r="SAH50" s="952"/>
      <c r="SAI50" s="952"/>
      <c r="SAJ50" s="952"/>
      <c r="SAK50" s="952"/>
      <c r="SAL50" s="952"/>
      <c r="SAM50" s="952"/>
      <c r="SAN50" s="952"/>
      <c r="SAO50" s="952"/>
      <c r="SAP50" s="952"/>
      <c r="SAQ50" s="952"/>
      <c r="SAR50" s="952"/>
      <c r="SAS50" s="952"/>
      <c r="SAT50" s="952"/>
      <c r="SAU50" s="952"/>
      <c r="SAV50" s="952"/>
      <c r="SAW50" s="952"/>
      <c r="SAX50" s="952"/>
      <c r="SAY50" s="952"/>
      <c r="SAZ50" s="952"/>
      <c r="SBA50" s="952"/>
      <c r="SBB50" s="952"/>
      <c r="SBC50" s="952"/>
      <c r="SBD50" s="952"/>
      <c r="SBE50" s="952"/>
      <c r="SBF50" s="952"/>
      <c r="SBG50" s="952"/>
      <c r="SBH50" s="952"/>
      <c r="SBI50" s="952"/>
      <c r="SBJ50" s="952"/>
      <c r="SBK50" s="952"/>
      <c r="SBL50" s="952"/>
      <c r="SBM50" s="952"/>
      <c r="SBN50" s="952"/>
      <c r="SBO50" s="952"/>
      <c r="SBP50" s="952"/>
      <c r="SBQ50" s="952"/>
      <c r="SBR50" s="952"/>
      <c r="SBS50" s="952"/>
      <c r="SBT50" s="952"/>
      <c r="SBU50" s="952"/>
      <c r="SBV50" s="952"/>
      <c r="SBW50" s="952"/>
      <c r="SBX50" s="952"/>
      <c r="SBY50" s="952"/>
      <c r="SBZ50" s="952"/>
      <c r="SCA50" s="952"/>
      <c r="SCB50" s="952"/>
      <c r="SCC50" s="952"/>
      <c r="SCD50" s="952"/>
      <c r="SCE50" s="952"/>
      <c r="SCF50" s="952"/>
      <c r="SCG50" s="952"/>
      <c r="SCH50" s="952"/>
      <c r="SCI50" s="952"/>
      <c r="SCJ50" s="952"/>
      <c r="SCK50" s="952"/>
      <c r="SCL50" s="952"/>
      <c r="SCM50" s="952"/>
      <c r="SCN50" s="952"/>
      <c r="SCO50" s="952"/>
      <c r="SCP50" s="952"/>
      <c r="SCQ50" s="952"/>
      <c r="SCR50" s="952"/>
      <c r="SCS50" s="952"/>
      <c r="SCT50" s="952"/>
      <c r="SCU50" s="952"/>
      <c r="SCV50" s="952"/>
      <c r="SCW50" s="952"/>
      <c r="SCX50" s="952"/>
      <c r="SCY50" s="952"/>
      <c r="SCZ50" s="952"/>
      <c r="SDA50" s="952"/>
      <c r="SDB50" s="952"/>
      <c r="SDC50" s="952"/>
      <c r="SDD50" s="952"/>
      <c r="SDE50" s="952"/>
      <c r="SDF50" s="952"/>
      <c r="SDG50" s="952"/>
      <c r="SDH50" s="952"/>
      <c r="SDI50" s="952"/>
      <c r="SDJ50" s="952"/>
      <c r="SDK50" s="952"/>
      <c r="SDL50" s="952"/>
      <c r="SDM50" s="952"/>
      <c r="SDN50" s="952"/>
      <c r="SDO50" s="952"/>
      <c r="SDP50" s="952"/>
      <c r="SDQ50" s="952"/>
      <c r="SDR50" s="952"/>
      <c r="SDS50" s="952"/>
      <c r="SDT50" s="952"/>
      <c r="SDU50" s="952"/>
      <c r="SDV50" s="952"/>
      <c r="SDW50" s="952"/>
      <c r="SDX50" s="952"/>
      <c r="SDY50" s="952"/>
      <c r="SDZ50" s="952"/>
      <c r="SEA50" s="952"/>
      <c r="SEB50" s="952"/>
      <c r="SEC50" s="952"/>
      <c r="SED50" s="952"/>
      <c r="SEE50" s="952"/>
      <c r="SEF50" s="952"/>
      <c r="SEG50" s="952"/>
      <c r="SEH50" s="952"/>
      <c r="SEI50" s="952"/>
      <c r="SEJ50" s="952"/>
      <c r="SEK50" s="952"/>
      <c r="SEL50" s="952"/>
      <c r="SEM50" s="952"/>
      <c r="SEN50" s="952"/>
      <c r="SEO50" s="952"/>
      <c r="SEP50" s="952"/>
      <c r="SEQ50" s="952"/>
      <c r="SER50" s="952"/>
      <c r="SES50" s="952"/>
      <c r="SET50" s="952"/>
      <c r="SEU50" s="952"/>
      <c r="SEV50" s="952"/>
      <c r="SEW50" s="952"/>
      <c r="SEX50" s="952"/>
      <c r="SEY50" s="952"/>
      <c r="SEZ50" s="952"/>
      <c r="SFA50" s="952"/>
      <c r="SFB50" s="952"/>
      <c r="SFC50" s="952"/>
      <c r="SFD50" s="952"/>
      <c r="SFE50" s="952"/>
      <c r="SFF50" s="952"/>
      <c r="SFG50" s="952"/>
      <c r="SFH50" s="952"/>
      <c r="SFI50" s="952"/>
      <c r="SFJ50" s="952"/>
      <c r="SFK50" s="952"/>
      <c r="SFL50" s="952"/>
      <c r="SFM50" s="952"/>
      <c r="SFN50" s="952"/>
      <c r="SFO50" s="952"/>
      <c r="SFP50" s="952"/>
      <c r="SFQ50" s="952"/>
      <c r="SFR50" s="952"/>
      <c r="SFS50" s="952"/>
      <c r="SFT50" s="952"/>
      <c r="SFU50" s="952"/>
      <c r="SFV50" s="952"/>
      <c r="SFW50" s="952"/>
      <c r="SFX50" s="952"/>
      <c r="SFY50" s="952"/>
      <c r="SFZ50" s="952"/>
      <c r="SGA50" s="952"/>
      <c r="SGB50" s="952"/>
      <c r="SGC50" s="952"/>
      <c r="SGD50" s="952"/>
      <c r="SGE50" s="952"/>
      <c r="SGF50" s="952"/>
      <c r="SGG50" s="952"/>
      <c r="SGH50" s="952"/>
      <c r="SGI50" s="952"/>
      <c r="SGJ50" s="952"/>
      <c r="SGK50" s="952"/>
      <c r="SGL50" s="952"/>
      <c r="SGM50" s="952"/>
      <c r="SGN50" s="952"/>
      <c r="SGO50" s="952"/>
      <c r="SGP50" s="952"/>
      <c r="SGQ50" s="952"/>
      <c r="SGR50" s="952"/>
      <c r="SGS50" s="952"/>
      <c r="SGT50" s="952"/>
      <c r="SGU50" s="952"/>
      <c r="SGV50" s="952"/>
      <c r="SGW50" s="952"/>
      <c r="SGX50" s="952"/>
      <c r="SGY50" s="952"/>
      <c r="SGZ50" s="952"/>
      <c r="SHA50" s="952"/>
      <c r="SHB50" s="952"/>
      <c r="SHC50" s="952"/>
      <c r="SHD50" s="952"/>
      <c r="SHE50" s="952"/>
      <c r="SHF50" s="952"/>
      <c r="SHG50" s="952"/>
      <c r="SHH50" s="952"/>
      <c r="SHI50" s="952"/>
      <c r="SHJ50" s="952"/>
      <c r="SHK50" s="952"/>
      <c r="SHL50" s="952"/>
      <c r="SHM50" s="952"/>
      <c r="SHN50" s="952"/>
      <c r="SHO50" s="952"/>
      <c r="SHP50" s="952"/>
      <c r="SHQ50" s="952"/>
      <c r="SHR50" s="952"/>
      <c r="SHS50" s="952"/>
      <c r="SHT50" s="952"/>
      <c r="SHU50" s="952"/>
      <c r="SHV50" s="952"/>
      <c r="SHW50" s="952"/>
      <c r="SHX50" s="952"/>
      <c r="SHY50" s="952"/>
      <c r="SHZ50" s="952"/>
      <c r="SIA50" s="952"/>
      <c r="SIB50" s="952"/>
      <c r="SIC50" s="952"/>
      <c r="SID50" s="952"/>
      <c r="SIE50" s="952"/>
      <c r="SIF50" s="952"/>
      <c r="SIG50" s="952"/>
      <c r="SIH50" s="952"/>
      <c r="SII50" s="952"/>
      <c r="SIJ50" s="952"/>
      <c r="SIK50" s="952"/>
      <c r="SIL50" s="952"/>
      <c r="SIM50" s="952"/>
      <c r="SIN50" s="952"/>
      <c r="SIO50" s="952"/>
      <c r="SIP50" s="952"/>
      <c r="SIQ50" s="952"/>
      <c r="SIR50" s="952"/>
      <c r="SIS50" s="952"/>
      <c r="SIT50" s="952"/>
      <c r="SIU50" s="952"/>
      <c r="SIV50" s="952"/>
      <c r="SIW50" s="952"/>
      <c r="SIX50" s="952"/>
      <c r="SIY50" s="952"/>
      <c r="SIZ50" s="952"/>
      <c r="SJA50" s="952"/>
      <c r="SJB50" s="952"/>
      <c r="SJC50" s="952"/>
      <c r="SJD50" s="952"/>
      <c r="SJE50" s="952"/>
      <c r="SJF50" s="952"/>
      <c r="SJG50" s="952"/>
      <c r="SJH50" s="952"/>
      <c r="SJI50" s="952"/>
      <c r="SJJ50" s="952"/>
      <c r="SJK50" s="952"/>
      <c r="SJL50" s="952"/>
      <c r="SJM50" s="952"/>
      <c r="SJN50" s="952"/>
      <c r="SJO50" s="952"/>
      <c r="SJP50" s="952"/>
      <c r="SJQ50" s="952"/>
      <c r="SJR50" s="952"/>
      <c r="SJS50" s="952"/>
      <c r="SJT50" s="952"/>
      <c r="SJU50" s="952"/>
      <c r="SJV50" s="952"/>
      <c r="SJW50" s="952"/>
      <c r="SJX50" s="952"/>
      <c r="SJY50" s="952"/>
      <c r="SJZ50" s="952"/>
      <c r="SKA50" s="952"/>
      <c r="SKB50" s="952"/>
      <c r="SKC50" s="952"/>
      <c r="SKD50" s="952"/>
      <c r="SKE50" s="952"/>
      <c r="SKF50" s="952"/>
      <c r="SKG50" s="952"/>
      <c r="SKH50" s="952"/>
      <c r="SKI50" s="952"/>
      <c r="SKJ50" s="952"/>
      <c r="SKK50" s="952"/>
      <c r="SKL50" s="952"/>
      <c r="SKM50" s="952"/>
      <c r="SKN50" s="952"/>
      <c r="SKO50" s="952"/>
      <c r="SKP50" s="952"/>
      <c r="SKQ50" s="952"/>
      <c r="SKR50" s="952"/>
      <c r="SKS50" s="952"/>
      <c r="SKT50" s="952"/>
      <c r="SKU50" s="952"/>
      <c r="SKV50" s="952"/>
      <c r="SKW50" s="952"/>
      <c r="SKX50" s="952"/>
      <c r="SKY50" s="952"/>
      <c r="SKZ50" s="952"/>
      <c r="SLA50" s="952"/>
      <c r="SLB50" s="952"/>
      <c r="SLC50" s="952"/>
      <c r="SLD50" s="952"/>
      <c r="SLE50" s="952"/>
      <c r="SLF50" s="952"/>
      <c r="SLG50" s="952"/>
      <c r="SLH50" s="952"/>
      <c r="SLI50" s="952"/>
      <c r="SLJ50" s="952"/>
      <c r="SLK50" s="952"/>
      <c r="SLL50" s="952"/>
      <c r="SLM50" s="952"/>
      <c r="SLN50" s="952"/>
      <c r="SLO50" s="952"/>
      <c r="SLP50" s="952"/>
      <c r="SLQ50" s="952"/>
      <c r="SLR50" s="952"/>
      <c r="SLS50" s="952"/>
      <c r="SLT50" s="952"/>
      <c r="SLU50" s="952"/>
      <c r="SLV50" s="952"/>
      <c r="SLW50" s="952"/>
      <c r="SLX50" s="952"/>
      <c r="SLY50" s="952"/>
      <c r="SLZ50" s="952"/>
      <c r="SMA50" s="952"/>
      <c r="SMB50" s="952"/>
      <c r="SMC50" s="952"/>
      <c r="SMD50" s="952"/>
      <c r="SME50" s="952"/>
      <c r="SMF50" s="952"/>
      <c r="SMG50" s="952"/>
      <c r="SMH50" s="952"/>
      <c r="SMI50" s="952"/>
      <c r="SMJ50" s="952"/>
      <c r="SMK50" s="952"/>
      <c r="SML50" s="952"/>
      <c r="SMM50" s="952"/>
      <c r="SMN50" s="952"/>
      <c r="SMO50" s="952"/>
      <c r="SMP50" s="952"/>
      <c r="SMQ50" s="952"/>
      <c r="SMR50" s="952"/>
      <c r="SMS50" s="952"/>
      <c r="SMT50" s="952"/>
      <c r="SMU50" s="952"/>
      <c r="SMV50" s="952"/>
      <c r="SMW50" s="952"/>
      <c r="SMX50" s="952"/>
      <c r="SMY50" s="952"/>
      <c r="SMZ50" s="952"/>
      <c r="SNA50" s="952"/>
      <c r="SNB50" s="952"/>
      <c r="SNC50" s="952"/>
      <c r="SND50" s="952"/>
      <c r="SNE50" s="952"/>
      <c r="SNF50" s="952"/>
      <c r="SNG50" s="952"/>
      <c r="SNH50" s="952"/>
      <c r="SNI50" s="952"/>
      <c r="SNJ50" s="952"/>
      <c r="SNK50" s="952"/>
      <c r="SNL50" s="952"/>
      <c r="SNM50" s="952"/>
      <c r="SNN50" s="952"/>
      <c r="SNO50" s="952"/>
      <c r="SNP50" s="952"/>
      <c r="SNQ50" s="952"/>
      <c r="SNR50" s="952"/>
      <c r="SNS50" s="952"/>
      <c r="SNT50" s="952"/>
      <c r="SNU50" s="952"/>
      <c r="SNV50" s="952"/>
      <c r="SNW50" s="952"/>
      <c r="SNX50" s="952"/>
      <c r="SNY50" s="952"/>
      <c r="SNZ50" s="952"/>
      <c r="SOA50" s="952"/>
      <c r="SOB50" s="952"/>
      <c r="SOC50" s="952"/>
      <c r="SOD50" s="952"/>
      <c r="SOE50" s="952"/>
      <c r="SOF50" s="952"/>
      <c r="SOG50" s="952"/>
      <c r="SOH50" s="952"/>
      <c r="SOI50" s="952"/>
      <c r="SOJ50" s="952"/>
      <c r="SOK50" s="952"/>
      <c r="SOL50" s="952"/>
      <c r="SOM50" s="952"/>
      <c r="SON50" s="952"/>
      <c r="SOO50" s="952"/>
      <c r="SOP50" s="952"/>
      <c r="SOQ50" s="952"/>
      <c r="SOR50" s="952"/>
      <c r="SOS50" s="952"/>
      <c r="SOT50" s="952"/>
      <c r="SOU50" s="952"/>
      <c r="SOV50" s="952"/>
      <c r="SOW50" s="952"/>
      <c r="SOX50" s="952"/>
      <c r="SOY50" s="952"/>
      <c r="SOZ50" s="952"/>
      <c r="SPA50" s="952"/>
      <c r="SPB50" s="952"/>
      <c r="SPC50" s="952"/>
      <c r="SPD50" s="952"/>
      <c r="SPE50" s="952"/>
      <c r="SPF50" s="952"/>
      <c r="SPG50" s="952"/>
      <c r="SPH50" s="952"/>
      <c r="SPI50" s="952"/>
      <c r="SPJ50" s="952"/>
      <c r="SPK50" s="952"/>
      <c r="SPL50" s="952"/>
      <c r="SPM50" s="952"/>
      <c r="SPN50" s="952"/>
      <c r="SPO50" s="952"/>
      <c r="SPP50" s="952"/>
      <c r="SPQ50" s="952"/>
      <c r="SPR50" s="952"/>
      <c r="SPS50" s="952"/>
      <c r="SPT50" s="952"/>
      <c r="SPU50" s="952"/>
      <c r="SPV50" s="952"/>
      <c r="SPW50" s="952"/>
      <c r="SPX50" s="952"/>
      <c r="SPY50" s="952"/>
      <c r="SPZ50" s="952"/>
      <c r="SQA50" s="952"/>
      <c r="SQB50" s="952"/>
      <c r="SQC50" s="952"/>
      <c r="SQD50" s="952"/>
      <c r="SQE50" s="952"/>
      <c r="SQF50" s="952"/>
      <c r="SQG50" s="952"/>
      <c r="SQH50" s="952"/>
      <c r="SQI50" s="952"/>
      <c r="SQJ50" s="952"/>
      <c r="SQK50" s="952"/>
      <c r="SQL50" s="952"/>
      <c r="SQM50" s="952"/>
      <c r="SQN50" s="952"/>
      <c r="SQO50" s="952"/>
      <c r="SQP50" s="952"/>
      <c r="SQQ50" s="952"/>
      <c r="SQR50" s="952"/>
      <c r="SQS50" s="952"/>
      <c r="SQT50" s="952"/>
      <c r="SQU50" s="952"/>
      <c r="SQV50" s="952"/>
      <c r="SQW50" s="952"/>
      <c r="SQX50" s="952"/>
      <c r="SQY50" s="952"/>
      <c r="SQZ50" s="952"/>
      <c r="SRA50" s="952"/>
      <c r="SRB50" s="952"/>
      <c r="SRC50" s="952"/>
      <c r="SRD50" s="952"/>
      <c r="SRE50" s="952"/>
      <c r="SRF50" s="952"/>
      <c r="SRG50" s="952"/>
      <c r="SRH50" s="952"/>
      <c r="SRI50" s="952"/>
      <c r="SRJ50" s="952"/>
      <c r="SRK50" s="952"/>
      <c r="SRL50" s="952"/>
      <c r="SRM50" s="952"/>
      <c r="SRN50" s="952"/>
      <c r="SRO50" s="952"/>
      <c r="SRP50" s="952"/>
      <c r="SRQ50" s="952"/>
      <c r="SRR50" s="952"/>
      <c r="SRS50" s="952"/>
      <c r="SRT50" s="952"/>
      <c r="SRU50" s="952"/>
      <c r="SRV50" s="952"/>
      <c r="SRW50" s="952"/>
      <c r="SRX50" s="952"/>
      <c r="SRY50" s="952"/>
      <c r="SRZ50" s="952"/>
      <c r="SSA50" s="952"/>
      <c r="SSB50" s="952"/>
      <c r="SSC50" s="952"/>
      <c r="SSD50" s="952"/>
      <c r="SSE50" s="952"/>
      <c r="SSF50" s="952"/>
      <c r="SSG50" s="952"/>
      <c r="SSH50" s="952"/>
      <c r="SSI50" s="952"/>
      <c r="SSJ50" s="952"/>
      <c r="SSK50" s="952"/>
      <c r="SSL50" s="952"/>
      <c r="SSM50" s="952"/>
      <c r="SSN50" s="952"/>
      <c r="SSO50" s="952"/>
      <c r="SSP50" s="952"/>
      <c r="SSQ50" s="952"/>
      <c r="SSR50" s="952"/>
      <c r="SSS50" s="952"/>
      <c r="SST50" s="952"/>
      <c r="SSU50" s="952"/>
      <c r="SSV50" s="952"/>
      <c r="SSW50" s="952"/>
      <c r="SSX50" s="952"/>
      <c r="SSY50" s="952"/>
      <c r="SSZ50" s="952"/>
      <c r="STA50" s="952"/>
      <c r="STB50" s="952"/>
      <c r="STC50" s="952"/>
      <c r="STD50" s="952"/>
      <c r="STE50" s="952"/>
      <c r="STF50" s="952"/>
      <c r="STG50" s="952"/>
      <c r="STH50" s="952"/>
      <c r="STI50" s="952"/>
      <c r="STJ50" s="952"/>
      <c r="STK50" s="952"/>
      <c r="STL50" s="952"/>
      <c r="STM50" s="952"/>
      <c r="STN50" s="952"/>
      <c r="STO50" s="952"/>
      <c r="STP50" s="952"/>
      <c r="STQ50" s="952"/>
      <c r="STR50" s="952"/>
      <c r="STS50" s="952"/>
      <c r="STT50" s="952"/>
      <c r="STU50" s="952"/>
      <c r="STV50" s="952"/>
      <c r="STW50" s="952"/>
      <c r="STX50" s="952"/>
      <c r="STY50" s="952"/>
      <c r="STZ50" s="952"/>
      <c r="SUA50" s="952"/>
      <c r="SUB50" s="952"/>
      <c r="SUC50" s="952"/>
      <c r="SUD50" s="952"/>
      <c r="SUE50" s="952"/>
      <c r="SUF50" s="952"/>
      <c r="SUG50" s="952"/>
      <c r="SUH50" s="952"/>
      <c r="SUI50" s="952"/>
      <c r="SUJ50" s="952"/>
      <c r="SUK50" s="952"/>
      <c r="SUL50" s="952"/>
      <c r="SUM50" s="952"/>
      <c r="SUN50" s="952"/>
      <c r="SUO50" s="952"/>
      <c r="SUP50" s="952"/>
      <c r="SUQ50" s="952"/>
      <c r="SUR50" s="952"/>
      <c r="SUS50" s="952"/>
      <c r="SUT50" s="952"/>
      <c r="SUU50" s="952"/>
      <c r="SUV50" s="952"/>
      <c r="SUW50" s="952"/>
      <c r="SUX50" s="952"/>
      <c r="SUY50" s="952"/>
      <c r="SUZ50" s="952"/>
      <c r="SVA50" s="952"/>
      <c r="SVB50" s="952"/>
      <c r="SVC50" s="952"/>
      <c r="SVD50" s="952"/>
      <c r="SVE50" s="952"/>
      <c r="SVF50" s="952"/>
      <c r="SVG50" s="952"/>
      <c r="SVH50" s="952"/>
      <c r="SVI50" s="952"/>
      <c r="SVJ50" s="952"/>
      <c r="SVK50" s="952"/>
      <c r="SVL50" s="952"/>
      <c r="SVM50" s="952"/>
      <c r="SVN50" s="952"/>
      <c r="SVO50" s="952"/>
      <c r="SVP50" s="952"/>
      <c r="SVQ50" s="952"/>
      <c r="SVR50" s="952"/>
      <c r="SVS50" s="952"/>
      <c r="SVT50" s="952"/>
      <c r="SVU50" s="952"/>
      <c r="SVV50" s="952"/>
      <c r="SVW50" s="952"/>
      <c r="SVX50" s="952"/>
      <c r="SVY50" s="952"/>
      <c r="SVZ50" s="952"/>
      <c r="SWA50" s="952"/>
      <c r="SWB50" s="952"/>
      <c r="SWC50" s="952"/>
      <c r="SWD50" s="952"/>
      <c r="SWE50" s="952"/>
      <c r="SWF50" s="952"/>
      <c r="SWG50" s="952"/>
      <c r="SWH50" s="952"/>
      <c r="SWI50" s="952"/>
      <c r="SWJ50" s="952"/>
      <c r="SWK50" s="952"/>
      <c r="SWL50" s="952"/>
      <c r="SWM50" s="952"/>
      <c r="SWN50" s="952"/>
      <c r="SWO50" s="952"/>
      <c r="SWP50" s="952"/>
      <c r="SWQ50" s="952"/>
      <c r="SWR50" s="952"/>
      <c r="SWS50" s="952"/>
      <c r="SWT50" s="952"/>
      <c r="SWU50" s="952"/>
      <c r="SWV50" s="952"/>
      <c r="SWW50" s="952"/>
      <c r="SWX50" s="952"/>
      <c r="SWY50" s="952"/>
      <c r="SWZ50" s="952"/>
      <c r="SXA50" s="952"/>
      <c r="SXB50" s="952"/>
      <c r="SXC50" s="952"/>
      <c r="SXD50" s="952"/>
      <c r="SXE50" s="952"/>
      <c r="SXF50" s="952"/>
      <c r="SXG50" s="952"/>
      <c r="SXH50" s="952"/>
      <c r="SXI50" s="952"/>
      <c r="SXJ50" s="952"/>
      <c r="SXK50" s="952"/>
      <c r="SXL50" s="952"/>
      <c r="SXM50" s="952"/>
      <c r="SXN50" s="952"/>
      <c r="SXO50" s="952"/>
      <c r="SXP50" s="952"/>
      <c r="SXQ50" s="952"/>
      <c r="SXR50" s="952"/>
      <c r="SXS50" s="952"/>
      <c r="SXT50" s="952"/>
      <c r="SXU50" s="952"/>
      <c r="SXV50" s="952"/>
      <c r="SXW50" s="952"/>
      <c r="SXX50" s="952"/>
      <c r="SXY50" s="952"/>
      <c r="SXZ50" s="952"/>
      <c r="SYA50" s="952"/>
      <c r="SYB50" s="952"/>
      <c r="SYC50" s="952"/>
      <c r="SYD50" s="952"/>
      <c r="SYE50" s="952"/>
      <c r="SYF50" s="952"/>
      <c r="SYG50" s="952"/>
      <c r="SYH50" s="952"/>
      <c r="SYI50" s="952"/>
      <c r="SYJ50" s="952"/>
      <c r="SYK50" s="952"/>
      <c r="SYL50" s="952"/>
      <c r="SYM50" s="952"/>
      <c r="SYN50" s="952"/>
      <c r="SYO50" s="952"/>
      <c r="SYP50" s="952"/>
      <c r="SYQ50" s="952"/>
      <c r="SYR50" s="952"/>
      <c r="SYS50" s="952"/>
      <c r="SYT50" s="952"/>
      <c r="SYU50" s="952"/>
      <c r="SYV50" s="952"/>
      <c r="SYW50" s="952"/>
      <c r="SYX50" s="952"/>
      <c r="SYY50" s="952"/>
      <c r="SYZ50" s="952"/>
      <c r="SZA50" s="952"/>
      <c r="SZB50" s="952"/>
      <c r="SZC50" s="952"/>
      <c r="SZD50" s="952"/>
      <c r="SZE50" s="952"/>
      <c r="SZF50" s="952"/>
      <c r="SZG50" s="952"/>
      <c r="SZH50" s="952"/>
      <c r="SZI50" s="952"/>
      <c r="SZJ50" s="952"/>
      <c r="SZK50" s="952"/>
      <c r="SZL50" s="952"/>
      <c r="SZM50" s="952"/>
      <c r="SZN50" s="952"/>
      <c r="SZO50" s="952"/>
      <c r="SZP50" s="952"/>
      <c r="SZQ50" s="952"/>
      <c r="SZR50" s="952"/>
      <c r="SZS50" s="952"/>
      <c r="SZT50" s="952"/>
      <c r="SZU50" s="952"/>
      <c r="SZV50" s="952"/>
      <c r="SZW50" s="952"/>
      <c r="SZX50" s="952"/>
      <c r="SZY50" s="952"/>
      <c r="SZZ50" s="952"/>
      <c r="TAA50" s="952"/>
      <c r="TAB50" s="952"/>
      <c r="TAC50" s="952"/>
      <c r="TAD50" s="952"/>
      <c r="TAE50" s="952"/>
      <c r="TAF50" s="952"/>
      <c r="TAG50" s="952"/>
      <c r="TAH50" s="952"/>
      <c r="TAI50" s="952"/>
      <c r="TAJ50" s="952"/>
      <c r="TAK50" s="952"/>
      <c r="TAL50" s="952"/>
      <c r="TAM50" s="952"/>
      <c r="TAN50" s="952"/>
      <c r="TAO50" s="952"/>
      <c r="TAP50" s="952"/>
      <c r="TAQ50" s="952"/>
      <c r="TAR50" s="952"/>
      <c r="TAS50" s="952"/>
      <c r="TAT50" s="952"/>
      <c r="TAU50" s="952"/>
      <c r="TAV50" s="952"/>
      <c r="TAW50" s="952"/>
      <c r="TAX50" s="952"/>
      <c r="TAY50" s="952"/>
      <c r="TAZ50" s="952"/>
      <c r="TBA50" s="952"/>
      <c r="TBB50" s="952"/>
      <c r="TBC50" s="952"/>
      <c r="TBD50" s="952"/>
      <c r="TBE50" s="952"/>
      <c r="TBF50" s="952"/>
      <c r="TBG50" s="952"/>
      <c r="TBH50" s="952"/>
      <c r="TBI50" s="952"/>
      <c r="TBJ50" s="952"/>
      <c r="TBK50" s="952"/>
      <c r="TBL50" s="952"/>
      <c r="TBM50" s="952"/>
      <c r="TBN50" s="952"/>
      <c r="TBO50" s="952"/>
      <c r="TBP50" s="952"/>
      <c r="TBQ50" s="952"/>
      <c r="TBR50" s="952"/>
      <c r="TBS50" s="952"/>
      <c r="TBT50" s="952"/>
      <c r="TBU50" s="952"/>
      <c r="TBV50" s="952"/>
      <c r="TBW50" s="952"/>
      <c r="TBX50" s="952"/>
      <c r="TBY50" s="952"/>
      <c r="TBZ50" s="952"/>
      <c r="TCA50" s="952"/>
      <c r="TCB50" s="952"/>
      <c r="TCC50" s="952"/>
      <c r="TCD50" s="952"/>
      <c r="TCE50" s="952"/>
      <c r="TCF50" s="952"/>
      <c r="TCG50" s="952"/>
      <c r="TCH50" s="952"/>
      <c r="TCI50" s="952"/>
      <c r="TCJ50" s="952"/>
      <c r="TCK50" s="952"/>
      <c r="TCL50" s="952"/>
      <c r="TCM50" s="952"/>
      <c r="TCN50" s="952"/>
      <c r="TCO50" s="952"/>
      <c r="TCP50" s="952"/>
      <c r="TCQ50" s="952"/>
      <c r="TCR50" s="952"/>
      <c r="TCS50" s="952"/>
      <c r="TCT50" s="952"/>
      <c r="TCU50" s="952"/>
      <c r="TCV50" s="952"/>
      <c r="TCW50" s="952"/>
      <c r="TCX50" s="952"/>
      <c r="TCY50" s="952"/>
      <c r="TCZ50" s="952"/>
      <c r="TDA50" s="952"/>
      <c r="TDB50" s="952"/>
      <c r="TDC50" s="952"/>
      <c r="TDD50" s="952"/>
      <c r="TDE50" s="952"/>
      <c r="TDF50" s="952"/>
      <c r="TDG50" s="952"/>
      <c r="TDH50" s="952"/>
      <c r="TDI50" s="952"/>
      <c r="TDJ50" s="952"/>
      <c r="TDK50" s="952"/>
      <c r="TDL50" s="952"/>
      <c r="TDM50" s="952"/>
      <c r="TDN50" s="952"/>
      <c r="TDO50" s="952"/>
      <c r="TDP50" s="952"/>
      <c r="TDQ50" s="952"/>
      <c r="TDR50" s="952"/>
      <c r="TDS50" s="952"/>
      <c r="TDT50" s="952"/>
      <c r="TDU50" s="952"/>
      <c r="TDV50" s="952"/>
      <c r="TDW50" s="952"/>
      <c r="TDX50" s="952"/>
      <c r="TDY50" s="952"/>
      <c r="TDZ50" s="952"/>
      <c r="TEA50" s="952"/>
      <c r="TEB50" s="952"/>
      <c r="TEC50" s="952"/>
      <c r="TED50" s="952"/>
      <c r="TEE50" s="952"/>
      <c r="TEF50" s="952"/>
      <c r="TEG50" s="952"/>
      <c r="TEH50" s="952"/>
      <c r="TEI50" s="952"/>
      <c r="TEJ50" s="952"/>
      <c r="TEK50" s="952"/>
      <c r="TEL50" s="952"/>
      <c r="TEM50" s="952"/>
      <c r="TEN50" s="952"/>
      <c r="TEO50" s="952"/>
      <c r="TEP50" s="952"/>
      <c r="TEQ50" s="952"/>
      <c r="TER50" s="952"/>
      <c r="TES50" s="952"/>
      <c r="TET50" s="952"/>
      <c r="TEU50" s="952"/>
      <c r="TEV50" s="952"/>
      <c r="TEW50" s="952"/>
      <c r="TEX50" s="952"/>
      <c r="TEY50" s="952"/>
      <c r="TEZ50" s="952"/>
      <c r="TFA50" s="952"/>
      <c r="TFB50" s="952"/>
      <c r="TFC50" s="952"/>
      <c r="TFD50" s="952"/>
      <c r="TFE50" s="952"/>
      <c r="TFF50" s="952"/>
      <c r="TFG50" s="952"/>
      <c r="TFH50" s="952"/>
      <c r="TFI50" s="952"/>
      <c r="TFJ50" s="952"/>
      <c r="TFK50" s="952"/>
      <c r="TFL50" s="952"/>
      <c r="TFM50" s="952"/>
      <c r="TFN50" s="952"/>
      <c r="TFO50" s="952"/>
      <c r="TFP50" s="952"/>
      <c r="TFQ50" s="952"/>
      <c r="TFR50" s="952"/>
      <c r="TFS50" s="952"/>
      <c r="TFT50" s="952"/>
      <c r="TFU50" s="952"/>
      <c r="TFV50" s="952"/>
      <c r="TFW50" s="952"/>
      <c r="TFX50" s="952"/>
      <c r="TFY50" s="952"/>
      <c r="TFZ50" s="952"/>
      <c r="TGA50" s="952"/>
      <c r="TGB50" s="952"/>
      <c r="TGC50" s="952"/>
      <c r="TGD50" s="952"/>
      <c r="TGE50" s="952"/>
      <c r="TGF50" s="952"/>
      <c r="TGG50" s="952"/>
      <c r="TGH50" s="952"/>
      <c r="TGI50" s="952"/>
      <c r="TGJ50" s="952"/>
      <c r="TGK50" s="952"/>
      <c r="TGL50" s="952"/>
      <c r="TGM50" s="952"/>
      <c r="TGN50" s="952"/>
      <c r="TGO50" s="952"/>
      <c r="TGP50" s="952"/>
      <c r="TGQ50" s="952"/>
      <c r="TGR50" s="952"/>
      <c r="TGS50" s="952"/>
      <c r="TGT50" s="952"/>
      <c r="TGU50" s="952"/>
      <c r="TGV50" s="952"/>
      <c r="TGW50" s="952"/>
      <c r="TGX50" s="952"/>
      <c r="TGY50" s="952"/>
      <c r="TGZ50" s="952"/>
      <c r="THA50" s="952"/>
      <c r="THB50" s="952"/>
      <c r="THC50" s="952"/>
      <c r="THD50" s="952"/>
      <c r="THE50" s="952"/>
      <c r="THF50" s="952"/>
      <c r="THG50" s="952"/>
      <c r="THH50" s="952"/>
      <c r="THI50" s="952"/>
      <c r="THJ50" s="952"/>
      <c r="THK50" s="952"/>
      <c r="THL50" s="952"/>
      <c r="THM50" s="952"/>
      <c r="THN50" s="952"/>
      <c r="THO50" s="952"/>
      <c r="THP50" s="952"/>
      <c r="THQ50" s="952"/>
      <c r="THR50" s="952"/>
      <c r="THS50" s="952"/>
      <c r="THT50" s="952"/>
      <c r="THU50" s="952"/>
      <c r="THV50" s="952"/>
      <c r="THW50" s="952"/>
      <c r="THX50" s="952"/>
      <c r="THY50" s="952"/>
      <c r="THZ50" s="952"/>
      <c r="TIA50" s="952"/>
      <c r="TIB50" s="952"/>
      <c r="TIC50" s="952"/>
      <c r="TID50" s="952"/>
      <c r="TIE50" s="952"/>
      <c r="TIF50" s="952"/>
      <c r="TIG50" s="952"/>
      <c r="TIH50" s="952"/>
      <c r="TII50" s="952"/>
      <c r="TIJ50" s="952"/>
      <c r="TIK50" s="952"/>
      <c r="TIL50" s="952"/>
      <c r="TIM50" s="952"/>
      <c r="TIN50" s="952"/>
      <c r="TIO50" s="952"/>
      <c r="TIP50" s="952"/>
      <c r="TIQ50" s="952"/>
      <c r="TIR50" s="952"/>
      <c r="TIS50" s="952"/>
      <c r="TIT50" s="952"/>
      <c r="TIU50" s="952"/>
      <c r="TIV50" s="952"/>
      <c r="TIW50" s="952"/>
      <c r="TIX50" s="952"/>
      <c r="TIY50" s="952"/>
      <c r="TIZ50" s="952"/>
      <c r="TJA50" s="952"/>
      <c r="TJB50" s="952"/>
      <c r="TJC50" s="952"/>
      <c r="TJD50" s="952"/>
      <c r="TJE50" s="952"/>
      <c r="TJF50" s="952"/>
      <c r="TJG50" s="952"/>
      <c r="TJH50" s="952"/>
      <c r="TJI50" s="952"/>
      <c r="TJJ50" s="952"/>
      <c r="TJK50" s="952"/>
      <c r="TJL50" s="952"/>
      <c r="TJM50" s="952"/>
      <c r="TJN50" s="952"/>
      <c r="TJO50" s="952"/>
      <c r="TJP50" s="952"/>
      <c r="TJQ50" s="952"/>
      <c r="TJR50" s="952"/>
      <c r="TJS50" s="952"/>
      <c r="TJT50" s="952"/>
      <c r="TJU50" s="952"/>
      <c r="TJV50" s="952"/>
      <c r="TJW50" s="952"/>
      <c r="TJX50" s="952"/>
      <c r="TJY50" s="952"/>
      <c r="TJZ50" s="952"/>
      <c r="TKA50" s="952"/>
      <c r="TKB50" s="952"/>
      <c r="TKC50" s="952"/>
      <c r="TKD50" s="952"/>
      <c r="TKE50" s="952"/>
      <c r="TKF50" s="952"/>
      <c r="TKG50" s="952"/>
      <c r="TKH50" s="952"/>
      <c r="TKI50" s="952"/>
      <c r="TKJ50" s="952"/>
      <c r="TKK50" s="952"/>
      <c r="TKL50" s="952"/>
      <c r="TKM50" s="952"/>
      <c r="TKN50" s="952"/>
      <c r="TKO50" s="952"/>
      <c r="TKP50" s="952"/>
      <c r="TKQ50" s="952"/>
      <c r="TKR50" s="952"/>
      <c r="TKS50" s="952"/>
      <c r="TKT50" s="952"/>
      <c r="TKU50" s="952"/>
      <c r="TKV50" s="952"/>
      <c r="TKW50" s="952"/>
      <c r="TKX50" s="952"/>
      <c r="TKY50" s="952"/>
      <c r="TKZ50" s="952"/>
      <c r="TLA50" s="952"/>
      <c r="TLB50" s="952"/>
      <c r="TLC50" s="952"/>
      <c r="TLD50" s="952"/>
      <c r="TLE50" s="952"/>
      <c r="TLF50" s="952"/>
      <c r="TLG50" s="952"/>
      <c r="TLH50" s="952"/>
      <c r="TLI50" s="952"/>
      <c r="TLJ50" s="952"/>
      <c r="TLK50" s="952"/>
      <c r="TLL50" s="952"/>
      <c r="TLM50" s="952"/>
      <c r="TLN50" s="952"/>
      <c r="TLO50" s="952"/>
      <c r="TLP50" s="952"/>
      <c r="TLQ50" s="952"/>
      <c r="TLR50" s="952"/>
      <c r="TLS50" s="952"/>
      <c r="TLT50" s="952"/>
      <c r="TLU50" s="952"/>
      <c r="TLV50" s="952"/>
      <c r="TLW50" s="952"/>
      <c r="TLX50" s="952"/>
      <c r="TLY50" s="952"/>
      <c r="TLZ50" s="952"/>
      <c r="TMA50" s="952"/>
      <c r="TMB50" s="952"/>
      <c r="TMC50" s="952"/>
      <c r="TMD50" s="952"/>
      <c r="TME50" s="952"/>
      <c r="TMF50" s="952"/>
      <c r="TMG50" s="952"/>
      <c r="TMH50" s="952"/>
      <c r="TMI50" s="952"/>
      <c r="TMJ50" s="952"/>
      <c r="TMK50" s="952"/>
      <c r="TML50" s="952"/>
      <c r="TMM50" s="952"/>
      <c r="TMN50" s="952"/>
      <c r="TMO50" s="952"/>
      <c r="TMP50" s="952"/>
      <c r="TMQ50" s="952"/>
      <c r="TMR50" s="952"/>
      <c r="TMS50" s="952"/>
      <c r="TMT50" s="952"/>
      <c r="TMU50" s="952"/>
      <c r="TMV50" s="952"/>
      <c r="TMW50" s="952"/>
      <c r="TMX50" s="952"/>
      <c r="TMY50" s="952"/>
      <c r="TMZ50" s="952"/>
      <c r="TNA50" s="952"/>
      <c r="TNB50" s="952"/>
      <c r="TNC50" s="952"/>
      <c r="TND50" s="952"/>
      <c r="TNE50" s="952"/>
      <c r="TNF50" s="952"/>
      <c r="TNG50" s="952"/>
      <c r="TNH50" s="952"/>
      <c r="TNI50" s="952"/>
      <c r="TNJ50" s="952"/>
      <c r="TNK50" s="952"/>
      <c r="TNL50" s="952"/>
      <c r="TNM50" s="952"/>
      <c r="TNN50" s="952"/>
      <c r="TNO50" s="952"/>
      <c r="TNP50" s="952"/>
      <c r="TNQ50" s="952"/>
      <c r="TNR50" s="952"/>
      <c r="TNS50" s="952"/>
      <c r="TNT50" s="952"/>
      <c r="TNU50" s="952"/>
      <c r="TNV50" s="952"/>
      <c r="TNW50" s="952"/>
      <c r="TNX50" s="952"/>
      <c r="TNY50" s="952"/>
      <c r="TNZ50" s="952"/>
      <c r="TOA50" s="952"/>
      <c r="TOB50" s="952"/>
      <c r="TOC50" s="952"/>
      <c r="TOD50" s="952"/>
      <c r="TOE50" s="952"/>
      <c r="TOF50" s="952"/>
      <c r="TOG50" s="952"/>
      <c r="TOH50" s="952"/>
      <c r="TOI50" s="952"/>
      <c r="TOJ50" s="952"/>
      <c r="TOK50" s="952"/>
      <c r="TOL50" s="952"/>
      <c r="TOM50" s="952"/>
      <c r="TON50" s="952"/>
      <c r="TOO50" s="952"/>
      <c r="TOP50" s="952"/>
      <c r="TOQ50" s="952"/>
      <c r="TOR50" s="952"/>
      <c r="TOS50" s="952"/>
      <c r="TOT50" s="952"/>
      <c r="TOU50" s="952"/>
      <c r="TOV50" s="952"/>
      <c r="TOW50" s="952"/>
      <c r="TOX50" s="952"/>
      <c r="TOY50" s="952"/>
      <c r="TOZ50" s="952"/>
      <c r="TPA50" s="952"/>
      <c r="TPB50" s="952"/>
      <c r="TPC50" s="952"/>
      <c r="TPD50" s="952"/>
      <c r="TPE50" s="952"/>
      <c r="TPF50" s="952"/>
      <c r="TPG50" s="952"/>
      <c r="TPH50" s="952"/>
      <c r="TPI50" s="952"/>
      <c r="TPJ50" s="952"/>
      <c r="TPK50" s="952"/>
      <c r="TPL50" s="952"/>
      <c r="TPM50" s="952"/>
      <c r="TPN50" s="952"/>
      <c r="TPO50" s="952"/>
      <c r="TPP50" s="952"/>
      <c r="TPQ50" s="952"/>
      <c r="TPR50" s="952"/>
      <c r="TPS50" s="952"/>
      <c r="TPT50" s="952"/>
      <c r="TPU50" s="952"/>
      <c r="TPV50" s="952"/>
      <c r="TPW50" s="952"/>
      <c r="TPX50" s="952"/>
      <c r="TPY50" s="952"/>
      <c r="TPZ50" s="952"/>
      <c r="TQA50" s="952"/>
      <c r="TQB50" s="952"/>
      <c r="TQC50" s="952"/>
      <c r="TQD50" s="952"/>
      <c r="TQE50" s="952"/>
      <c r="TQF50" s="952"/>
      <c r="TQG50" s="952"/>
      <c r="TQH50" s="952"/>
      <c r="TQI50" s="952"/>
      <c r="TQJ50" s="952"/>
      <c r="TQK50" s="952"/>
      <c r="TQL50" s="952"/>
      <c r="TQM50" s="952"/>
      <c r="TQN50" s="952"/>
      <c r="TQO50" s="952"/>
      <c r="TQP50" s="952"/>
      <c r="TQQ50" s="952"/>
      <c r="TQR50" s="952"/>
      <c r="TQS50" s="952"/>
      <c r="TQT50" s="952"/>
      <c r="TQU50" s="952"/>
      <c r="TQV50" s="952"/>
      <c r="TQW50" s="952"/>
      <c r="TQX50" s="952"/>
      <c r="TQY50" s="952"/>
      <c r="TQZ50" s="952"/>
      <c r="TRA50" s="952"/>
      <c r="TRB50" s="952"/>
      <c r="TRC50" s="952"/>
      <c r="TRD50" s="952"/>
      <c r="TRE50" s="952"/>
      <c r="TRF50" s="952"/>
      <c r="TRG50" s="952"/>
      <c r="TRH50" s="952"/>
      <c r="TRI50" s="952"/>
      <c r="TRJ50" s="952"/>
      <c r="TRK50" s="952"/>
      <c r="TRL50" s="952"/>
      <c r="TRM50" s="952"/>
      <c r="TRN50" s="952"/>
      <c r="TRO50" s="952"/>
      <c r="TRP50" s="952"/>
      <c r="TRQ50" s="952"/>
      <c r="TRR50" s="952"/>
      <c r="TRS50" s="952"/>
      <c r="TRT50" s="952"/>
      <c r="TRU50" s="952"/>
      <c r="TRV50" s="952"/>
      <c r="TRW50" s="952"/>
      <c r="TRX50" s="952"/>
      <c r="TRY50" s="952"/>
      <c r="TRZ50" s="952"/>
      <c r="TSA50" s="952"/>
      <c r="TSB50" s="952"/>
      <c r="TSC50" s="952"/>
      <c r="TSD50" s="952"/>
      <c r="TSE50" s="952"/>
      <c r="TSF50" s="952"/>
      <c r="TSG50" s="952"/>
      <c r="TSH50" s="952"/>
      <c r="TSI50" s="952"/>
      <c r="TSJ50" s="952"/>
      <c r="TSK50" s="952"/>
      <c r="TSL50" s="952"/>
      <c r="TSM50" s="952"/>
      <c r="TSN50" s="952"/>
      <c r="TSO50" s="952"/>
      <c r="TSP50" s="952"/>
      <c r="TSQ50" s="952"/>
      <c r="TSR50" s="952"/>
      <c r="TSS50" s="952"/>
      <c r="TST50" s="952"/>
      <c r="TSU50" s="952"/>
      <c r="TSV50" s="952"/>
      <c r="TSW50" s="952"/>
      <c r="TSX50" s="952"/>
      <c r="TSY50" s="952"/>
      <c r="TSZ50" s="952"/>
      <c r="TTA50" s="952"/>
      <c r="TTB50" s="952"/>
      <c r="TTC50" s="952"/>
      <c r="TTD50" s="952"/>
      <c r="TTE50" s="952"/>
      <c r="TTF50" s="952"/>
      <c r="TTG50" s="952"/>
      <c r="TTH50" s="952"/>
      <c r="TTI50" s="952"/>
      <c r="TTJ50" s="952"/>
      <c r="TTK50" s="952"/>
      <c r="TTL50" s="952"/>
      <c r="TTM50" s="952"/>
      <c r="TTN50" s="952"/>
      <c r="TTO50" s="952"/>
      <c r="TTP50" s="952"/>
      <c r="TTQ50" s="952"/>
      <c r="TTR50" s="952"/>
      <c r="TTS50" s="952"/>
      <c r="TTT50" s="952"/>
      <c r="TTU50" s="952"/>
      <c r="TTV50" s="952"/>
      <c r="TTW50" s="952"/>
      <c r="TTX50" s="952"/>
      <c r="TTY50" s="952"/>
      <c r="TTZ50" s="952"/>
      <c r="TUA50" s="952"/>
      <c r="TUB50" s="952"/>
      <c r="TUC50" s="952"/>
      <c r="TUD50" s="952"/>
      <c r="TUE50" s="952"/>
      <c r="TUF50" s="952"/>
      <c r="TUG50" s="952"/>
      <c r="TUH50" s="952"/>
      <c r="TUI50" s="952"/>
      <c r="TUJ50" s="952"/>
      <c r="TUK50" s="952"/>
      <c r="TUL50" s="952"/>
      <c r="TUM50" s="952"/>
      <c r="TUN50" s="952"/>
      <c r="TUO50" s="952"/>
      <c r="TUP50" s="952"/>
      <c r="TUQ50" s="952"/>
      <c r="TUR50" s="952"/>
      <c r="TUS50" s="952"/>
      <c r="TUT50" s="952"/>
      <c r="TUU50" s="952"/>
      <c r="TUV50" s="952"/>
      <c r="TUW50" s="952"/>
      <c r="TUX50" s="952"/>
      <c r="TUY50" s="952"/>
      <c r="TUZ50" s="952"/>
      <c r="TVA50" s="952"/>
      <c r="TVB50" s="952"/>
      <c r="TVC50" s="952"/>
      <c r="TVD50" s="952"/>
      <c r="TVE50" s="952"/>
      <c r="TVF50" s="952"/>
      <c r="TVG50" s="952"/>
      <c r="TVH50" s="952"/>
      <c r="TVI50" s="952"/>
      <c r="TVJ50" s="952"/>
      <c r="TVK50" s="952"/>
      <c r="TVL50" s="952"/>
      <c r="TVM50" s="952"/>
      <c r="TVN50" s="952"/>
      <c r="TVO50" s="952"/>
      <c r="TVP50" s="952"/>
      <c r="TVQ50" s="952"/>
      <c r="TVR50" s="952"/>
      <c r="TVS50" s="952"/>
      <c r="TVT50" s="952"/>
      <c r="TVU50" s="952"/>
      <c r="TVV50" s="952"/>
      <c r="TVW50" s="952"/>
      <c r="TVX50" s="952"/>
      <c r="TVY50" s="952"/>
      <c r="TVZ50" s="952"/>
      <c r="TWA50" s="952"/>
      <c r="TWB50" s="952"/>
      <c r="TWC50" s="952"/>
      <c r="TWD50" s="952"/>
      <c r="TWE50" s="952"/>
      <c r="TWF50" s="952"/>
      <c r="TWG50" s="952"/>
      <c r="TWH50" s="952"/>
      <c r="TWI50" s="952"/>
      <c r="TWJ50" s="952"/>
      <c r="TWK50" s="952"/>
      <c r="TWL50" s="952"/>
      <c r="TWM50" s="952"/>
      <c r="TWN50" s="952"/>
      <c r="TWO50" s="952"/>
      <c r="TWP50" s="952"/>
      <c r="TWQ50" s="952"/>
      <c r="TWR50" s="952"/>
      <c r="TWS50" s="952"/>
      <c r="TWT50" s="952"/>
      <c r="TWU50" s="952"/>
      <c r="TWV50" s="952"/>
      <c r="TWW50" s="952"/>
      <c r="TWX50" s="952"/>
      <c r="TWY50" s="952"/>
      <c r="TWZ50" s="952"/>
      <c r="TXA50" s="952"/>
      <c r="TXB50" s="952"/>
      <c r="TXC50" s="952"/>
      <c r="TXD50" s="952"/>
      <c r="TXE50" s="952"/>
      <c r="TXF50" s="952"/>
      <c r="TXG50" s="952"/>
      <c r="TXH50" s="952"/>
      <c r="TXI50" s="952"/>
      <c r="TXJ50" s="952"/>
      <c r="TXK50" s="952"/>
      <c r="TXL50" s="952"/>
      <c r="TXM50" s="952"/>
      <c r="TXN50" s="952"/>
      <c r="TXO50" s="952"/>
      <c r="TXP50" s="952"/>
      <c r="TXQ50" s="952"/>
      <c r="TXR50" s="952"/>
      <c r="TXS50" s="952"/>
      <c r="TXT50" s="952"/>
      <c r="TXU50" s="952"/>
      <c r="TXV50" s="952"/>
      <c r="TXW50" s="952"/>
      <c r="TXX50" s="952"/>
      <c r="TXY50" s="952"/>
      <c r="TXZ50" s="952"/>
      <c r="TYA50" s="952"/>
      <c r="TYB50" s="952"/>
      <c r="TYC50" s="952"/>
      <c r="TYD50" s="952"/>
      <c r="TYE50" s="952"/>
      <c r="TYF50" s="952"/>
      <c r="TYG50" s="952"/>
      <c r="TYH50" s="952"/>
      <c r="TYI50" s="952"/>
      <c r="TYJ50" s="952"/>
      <c r="TYK50" s="952"/>
      <c r="TYL50" s="952"/>
      <c r="TYM50" s="952"/>
      <c r="TYN50" s="952"/>
      <c r="TYO50" s="952"/>
      <c r="TYP50" s="952"/>
      <c r="TYQ50" s="952"/>
      <c r="TYR50" s="952"/>
      <c r="TYS50" s="952"/>
      <c r="TYT50" s="952"/>
      <c r="TYU50" s="952"/>
      <c r="TYV50" s="952"/>
      <c r="TYW50" s="952"/>
      <c r="TYX50" s="952"/>
      <c r="TYY50" s="952"/>
      <c r="TYZ50" s="952"/>
      <c r="TZA50" s="952"/>
      <c r="TZB50" s="952"/>
      <c r="TZC50" s="952"/>
      <c r="TZD50" s="952"/>
      <c r="TZE50" s="952"/>
      <c r="TZF50" s="952"/>
      <c r="TZG50" s="952"/>
      <c r="TZH50" s="952"/>
      <c r="TZI50" s="952"/>
      <c r="TZJ50" s="952"/>
      <c r="TZK50" s="952"/>
      <c r="TZL50" s="952"/>
      <c r="TZM50" s="952"/>
      <c r="TZN50" s="952"/>
      <c r="TZO50" s="952"/>
      <c r="TZP50" s="952"/>
      <c r="TZQ50" s="952"/>
      <c r="TZR50" s="952"/>
      <c r="TZS50" s="952"/>
      <c r="TZT50" s="952"/>
      <c r="TZU50" s="952"/>
      <c r="TZV50" s="952"/>
      <c r="TZW50" s="952"/>
      <c r="TZX50" s="952"/>
      <c r="TZY50" s="952"/>
      <c r="TZZ50" s="952"/>
      <c r="UAA50" s="952"/>
      <c r="UAB50" s="952"/>
      <c r="UAC50" s="952"/>
      <c r="UAD50" s="952"/>
      <c r="UAE50" s="952"/>
      <c r="UAF50" s="952"/>
      <c r="UAG50" s="952"/>
      <c r="UAH50" s="952"/>
      <c r="UAI50" s="952"/>
      <c r="UAJ50" s="952"/>
      <c r="UAK50" s="952"/>
      <c r="UAL50" s="952"/>
      <c r="UAM50" s="952"/>
      <c r="UAN50" s="952"/>
      <c r="UAO50" s="952"/>
      <c r="UAP50" s="952"/>
      <c r="UAQ50" s="952"/>
      <c r="UAR50" s="952"/>
      <c r="UAS50" s="952"/>
      <c r="UAT50" s="952"/>
      <c r="UAU50" s="952"/>
      <c r="UAV50" s="952"/>
      <c r="UAW50" s="952"/>
      <c r="UAX50" s="952"/>
      <c r="UAY50" s="952"/>
      <c r="UAZ50" s="952"/>
      <c r="UBA50" s="952"/>
      <c r="UBB50" s="952"/>
      <c r="UBC50" s="952"/>
      <c r="UBD50" s="952"/>
      <c r="UBE50" s="952"/>
      <c r="UBF50" s="952"/>
      <c r="UBG50" s="952"/>
      <c r="UBH50" s="952"/>
      <c r="UBI50" s="952"/>
      <c r="UBJ50" s="952"/>
      <c r="UBK50" s="952"/>
      <c r="UBL50" s="952"/>
      <c r="UBM50" s="952"/>
      <c r="UBN50" s="952"/>
      <c r="UBO50" s="952"/>
      <c r="UBP50" s="952"/>
      <c r="UBQ50" s="952"/>
      <c r="UBR50" s="952"/>
      <c r="UBS50" s="952"/>
      <c r="UBT50" s="952"/>
      <c r="UBU50" s="952"/>
      <c r="UBV50" s="952"/>
      <c r="UBW50" s="952"/>
      <c r="UBX50" s="952"/>
      <c r="UBY50" s="952"/>
      <c r="UBZ50" s="952"/>
      <c r="UCA50" s="952"/>
      <c r="UCB50" s="952"/>
      <c r="UCC50" s="952"/>
      <c r="UCD50" s="952"/>
      <c r="UCE50" s="952"/>
      <c r="UCF50" s="952"/>
      <c r="UCG50" s="952"/>
      <c r="UCH50" s="952"/>
      <c r="UCI50" s="952"/>
      <c r="UCJ50" s="952"/>
      <c r="UCK50" s="952"/>
      <c r="UCL50" s="952"/>
      <c r="UCM50" s="952"/>
      <c r="UCN50" s="952"/>
      <c r="UCO50" s="952"/>
      <c r="UCP50" s="952"/>
      <c r="UCQ50" s="952"/>
      <c r="UCR50" s="952"/>
      <c r="UCS50" s="952"/>
      <c r="UCT50" s="952"/>
      <c r="UCU50" s="952"/>
      <c r="UCV50" s="952"/>
      <c r="UCW50" s="952"/>
      <c r="UCX50" s="952"/>
      <c r="UCY50" s="952"/>
      <c r="UCZ50" s="952"/>
      <c r="UDA50" s="952"/>
      <c r="UDB50" s="952"/>
      <c r="UDC50" s="952"/>
      <c r="UDD50" s="952"/>
      <c r="UDE50" s="952"/>
      <c r="UDF50" s="952"/>
      <c r="UDG50" s="952"/>
      <c r="UDH50" s="952"/>
      <c r="UDI50" s="952"/>
      <c r="UDJ50" s="952"/>
      <c r="UDK50" s="952"/>
      <c r="UDL50" s="952"/>
      <c r="UDM50" s="952"/>
      <c r="UDN50" s="952"/>
      <c r="UDO50" s="952"/>
      <c r="UDP50" s="952"/>
      <c r="UDQ50" s="952"/>
      <c r="UDR50" s="952"/>
      <c r="UDS50" s="952"/>
      <c r="UDT50" s="952"/>
      <c r="UDU50" s="952"/>
      <c r="UDV50" s="952"/>
      <c r="UDW50" s="952"/>
      <c r="UDX50" s="952"/>
      <c r="UDY50" s="952"/>
      <c r="UDZ50" s="952"/>
      <c r="UEA50" s="952"/>
      <c r="UEB50" s="952"/>
      <c r="UEC50" s="952"/>
      <c r="UED50" s="952"/>
      <c r="UEE50" s="952"/>
      <c r="UEF50" s="952"/>
      <c r="UEG50" s="952"/>
      <c r="UEH50" s="952"/>
      <c r="UEI50" s="952"/>
      <c r="UEJ50" s="952"/>
      <c r="UEK50" s="952"/>
      <c r="UEL50" s="952"/>
      <c r="UEM50" s="952"/>
      <c r="UEN50" s="952"/>
      <c r="UEO50" s="952"/>
      <c r="UEP50" s="952"/>
      <c r="UEQ50" s="952"/>
      <c r="UER50" s="952"/>
      <c r="UES50" s="952"/>
      <c r="UET50" s="952"/>
      <c r="UEU50" s="952"/>
      <c r="UEV50" s="952"/>
      <c r="UEW50" s="952"/>
      <c r="UEX50" s="952"/>
      <c r="UEY50" s="952"/>
      <c r="UEZ50" s="952"/>
      <c r="UFA50" s="952"/>
      <c r="UFB50" s="952"/>
      <c r="UFC50" s="952"/>
      <c r="UFD50" s="952"/>
      <c r="UFE50" s="952"/>
      <c r="UFF50" s="952"/>
      <c r="UFG50" s="952"/>
      <c r="UFH50" s="952"/>
      <c r="UFI50" s="952"/>
      <c r="UFJ50" s="952"/>
      <c r="UFK50" s="952"/>
      <c r="UFL50" s="952"/>
      <c r="UFM50" s="952"/>
      <c r="UFN50" s="952"/>
      <c r="UFO50" s="952"/>
      <c r="UFP50" s="952"/>
      <c r="UFQ50" s="952"/>
      <c r="UFR50" s="952"/>
      <c r="UFS50" s="952"/>
      <c r="UFT50" s="952"/>
      <c r="UFU50" s="952"/>
      <c r="UFV50" s="952"/>
      <c r="UFW50" s="952"/>
      <c r="UFX50" s="952"/>
      <c r="UFY50" s="952"/>
      <c r="UFZ50" s="952"/>
      <c r="UGA50" s="952"/>
      <c r="UGB50" s="952"/>
      <c r="UGC50" s="952"/>
      <c r="UGD50" s="952"/>
      <c r="UGE50" s="952"/>
      <c r="UGF50" s="952"/>
      <c r="UGG50" s="952"/>
      <c r="UGH50" s="952"/>
      <c r="UGI50" s="952"/>
      <c r="UGJ50" s="952"/>
      <c r="UGK50" s="952"/>
      <c r="UGL50" s="952"/>
      <c r="UGM50" s="952"/>
      <c r="UGN50" s="952"/>
      <c r="UGO50" s="952"/>
      <c r="UGP50" s="952"/>
      <c r="UGQ50" s="952"/>
      <c r="UGR50" s="952"/>
      <c r="UGS50" s="952"/>
      <c r="UGT50" s="952"/>
      <c r="UGU50" s="952"/>
      <c r="UGV50" s="952"/>
      <c r="UGW50" s="952"/>
      <c r="UGX50" s="952"/>
      <c r="UGY50" s="952"/>
      <c r="UGZ50" s="952"/>
      <c r="UHA50" s="952"/>
      <c r="UHB50" s="952"/>
      <c r="UHC50" s="952"/>
      <c r="UHD50" s="952"/>
      <c r="UHE50" s="952"/>
      <c r="UHF50" s="952"/>
      <c r="UHG50" s="952"/>
      <c r="UHH50" s="952"/>
      <c r="UHI50" s="952"/>
      <c r="UHJ50" s="952"/>
      <c r="UHK50" s="952"/>
      <c r="UHL50" s="952"/>
      <c r="UHM50" s="952"/>
      <c r="UHN50" s="952"/>
      <c r="UHO50" s="952"/>
      <c r="UHP50" s="952"/>
      <c r="UHQ50" s="952"/>
      <c r="UHR50" s="952"/>
      <c r="UHS50" s="952"/>
      <c r="UHT50" s="952"/>
      <c r="UHU50" s="952"/>
      <c r="UHV50" s="952"/>
      <c r="UHW50" s="952"/>
      <c r="UHX50" s="952"/>
      <c r="UHY50" s="952"/>
      <c r="UHZ50" s="952"/>
      <c r="UIA50" s="952"/>
      <c r="UIB50" s="952"/>
      <c r="UIC50" s="952"/>
      <c r="UID50" s="952"/>
      <c r="UIE50" s="952"/>
      <c r="UIF50" s="952"/>
      <c r="UIG50" s="952"/>
      <c r="UIH50" s="952"/>
      <c r="UII50" s="952"/>
      <c r="UIJ50" s="952"/>
      <c r="UIK50" s="952"/>
      <c r="UIL50" s="952"/>
      <c r="UIM50" s="952"/>
      <c r="UIN50" s="952"/>
      <c r="UIO50" s="952"/>
      <c r="UIP50" s="952"/>
      <c r="UIQ50" s="952"/>
      <c r="UIR50" s="952"/>
      <c r="UIS50" s="952"/>
      <c r="UIT50" s="952"/>
      <c r="UIU50" s="952"/>
      <c r="UIV50" s="952"/>
      <c r="UIW50" s="952"/>
      <c r="UIX50" s="952"/>
      <c r="UIY50" s="952"/>
      <c r="UIZ50" s="952"/>
      <c r="UJA50" s="952"/>
      <c r="UJB50" s="952"/>
      <c r="UJC50" s="952"/>
      <c r="UJD50" s="952"/>
      <c r="UJE50" s="952"/>
      <c r="UJF50" s="952"/>
      <c r="UJG50" s="952"/>
      <c r="UJH50" s="952"/>
      <c r="UJI50" s="952"/>
      <c r="UJJ50" s="952"/>
      <c r="UJK50" s="952"/>
      <c r="UJL50" s="952"/>
      <c r="UJM50" s="952"/>
      <c r="UJN50" s="952"/>
      <c r="UJO50" s="952"/>
      <c r="UJP50" s="952"/>
      <c r="UJQ50" s="952"/>
      <c r="UJR50" s="952"/>
      <c r="UJS50" s="952"/>
      <c r="UJT50" s="952"/>
      <c r="UJU50" s="952"/>
      <c r="UJV50" s="952"/>
      <c r="UJW50" s="952"/>
      <c r="UJX50" s="952"/>
      <c r="UJY50" s="952"/>
      <c r="UJZ50" s="952"/>
      <c r="UKA50" s="952"/>
      <c r="UKB50" s="952"/>
      <c r="UKC50" s="952"/>
      <c r="UKD50" s="952"/>
      <c r="UKE50" s="952"/>
      <c r="UKF50" s="952"/>
      <c r="UKG50" s="952"/>
      <c r="UKH50" s="952"/>
      <c r="UKI50" s="952"/>
      <c r="UKJ50" s="952"/>
      <c r="UKK50" s="952"/>
      <c r="UKL50" s="952"/>
      <c r="UKM50" s="952"/>
      <c r="UKN50" s="952"/>
      <c r="UKO50" s="952"/>
      <c r="UKP50" s="952"/>
      <c r="UKQ50" s="952"/>
      <c r="UKR50" s="952"/>
      <c r="UKS50" s="952"/>
      <c r="UKT50" s="952"/>
      <c r="UKU50" s="952"/>
      <c r="UKV50" s="952"/>
      <c r="UKW50" s="952"/>
      <c r="UKX50" s="952"/>
      <c r="UKY50" s="952"/>
      <c r="UKZ50" s="952"/>
      <c r="ULA50" s="952"/>
      <c r="ULB50" s="952"/>
      <c r="ULC50" s="952"/>
      <c r="ULD50" s="952"/>
      <c r="ULE50" s="952"/>
      <c r="ULF50" s="952"/>
      <c r="ULG50" s="952"/>
      <c r="ULH50" s="952"/>
      <c r="ULI50" s="952"/>
      <c r="ULJ50" s="952"/>
      <c r="ULK50" s="952"/>
      <c r="ULL50" s="952"/>
      <c r="ULM50" s="952"/>
      <c r="ULN50" s="952"/>
      <c r="ULO50" s="952"/>
      <c r="ULP50" s="952"/>
      <c r="ULQ50" s="952"/>
      <c r="ULR50" s="952"/>
      <c r="ULS50" s="952"/>
      <c r="ULT50" s="952"/>
      <c r="ULU50" s="952"/>
      <c r="ULV50" s="952"/>
      <c r="ULW50" s="952"/>
      <c r="ULX50" s="952"/>
      <c r="ULY50" s="952"/>
      <c r="ULZ50" s="952"/>
      <c r="UMA50" s="952"/>
      <c r="UMB50" s="952"/>
      <c r="UMC50" s="952"/>
      <c r="UMD50" s="952"/>
      <c r="UME50" s="952"/>
      <c r="UMF50" s="952"/>
      <c r="UMG50" s="952"/>
      <c r="UMH50" s="952"/>
      <c r="UMI50" s="952"/>
      <c r="UMJ50" s="952"/>
      <c r="UMK50" s="952"/>
      <c r="UML50" s="952"/>
      <c r="UMM50" s="952"/>
      <c r="UMN50" s="952"/>
      <c r="UMO50" s="952"/>
      <c r="UMP50" s="952"/>
      <c r="UMQ50" s="952"/>
      <c r="UMR50" s="952"/>
      <c r="UMS50" s="952"/>
      <c r="UMT50" s="952"/>
      <c r="UMU50" s="952"/>
      <c r="UMV50" s="952"/>
      <c r="UMW50" s="952"/>
      <c r="UMX50" s="952"/>
      <c r="UMY50" s="952"/>
      <c r="UMZ50" s="952"/>
      <c r="UNA50" s="952"/>
      <c r="UNB50" s="952"/>
      <c r="UNC50" s="952"/>
      <c r="UND50" s="952"/>
      <c r="UNE50" s="952"/>
      <c r="UNF50" s="952"/>
      <c r="UNG50" s="952"/>
      <c r="UNH50" s="952"/>
      <c r="UNI50" s="952"/>
      <c r="UNJ50" s="952"/>
      <c r="UNK50" s="952"/>
      <c r="UNL50" s="952"/>
      <c r="UNM50" s="952"/>
      <c r="UNN50" s="952"/>
      <c r="UNO50" s="952"/>
      <c r="UNP50" s="952"/>
      <c r="UNQ50" s="952"/>
      <c r="UNR50" s="952"/>
      <c r="UNS50" s="952"/>
      <c r="UNT50" s="952"/>
      <c r="UNU50" s="952"/>
      <c r="UNV50" s="952"/>
      <c r="UNW50" s="952"/>
      <c r="UNX50" s="952"/>
      <c r="UNY50" s="952"/>
      <c r="UNZ50" s="952"/>
      <c r="UOA50" s="952"/>
      <c r="UOB50" s="952"/>
      <c r="UOC50" s="952"/>
      <c r="UOD50" s="952"/>
      <c r="UOE50" s="952"/>
      <c r="UOF50" s="952"/>
      <c r="UOG50" s="952"/>
      <c r="UOH50" s="952"/>
      <c r="UOI50" s="952"/>
      <c r="UOJ50" s="952"/>
      <c r="UOK50" s="952"/>
      <c r="UOL50" s="952"/>
      <c r="UOM50" s="952"/>
      <c r="UON50" s="952"/>
      <c r="UOO50" s="952"/>
      <c r="UOP50" s="952"/>
      <c r="UOQ50" s="952"/>
      <c r="UOR50" s="952"/>
      <c r="UOS50" s="952"/>
      <c r="UOT50" s="952"/>
      <c r="UOU50" s="952"/>
      <c r="UOV50" s="952"/>
      <c r="UOW50" s="952"/>
      <c r="UOX50" s="952"/>
      <c r="UOY50" s="952"/>
      <c r="UOZ50" s="952"/>
      <c r="UPA50" s="952"/>
      <c r="UPB50" s="952"/>
      <c r="UPC50" s="952"/>
      <c r="UPD50" s="952"/>
      <c r="UPE50" s="952"/>
      <c r="UPF50" s="952"/>
      <c r="UPG50" s="952"/>
      <c r="UPH50" s="952"/>
      <c r="UPI50" s="952"/>
      <c r="UPJ50" s="952"/>
      <c r="UPK50" s="952"/>
      <c r="UPL50" s="952"/>
      <c r="UPM50" s="952"/>
      <c r="UPN50" s="952"/>
      <c r="UPO50" s="952"/>
      <c r="UPP50" s="952"/>
      <c r="UPQ50" s="952"/>
      <c r="UPR50" s="952"/>
      <c r="UPS50" s="952"/>
      <c r="UPT50" s="952"/>
      <c r="UPU50" s="952"/>
      <c r="UPV50" s="952"/>
      <c r="UPW50" s="952"/>
      <c r="UPX50" s="952"/>
      <c r="UPY50" s="952"/>
      <c r="UPZ50" s="952"/>
      <c r="UQA50" s="952"/>
      <c r="UQB50" s="952"/>
      <c r="UQC50" s="952"/>
      <c r="UQD50" s="952"/>
      <c r="UQE50" s="952"/>
      <c r="UQF50" s="952"/>
      <c r="UQG50" s="952"/>
      <c r="UQH50" s="952"/>
      <c r="UQI50" s="952"/>
      <c r="UQJ50" s="952"/>
      <c r="UQK50" s="952"/>
      <c r="UQL50" s="952"/>
      <c r="UQM50" s="952"/>
      <c r="UQN50" s="952"/>
      <c r="UQO50" s="952"/>
      <c r="UQP50" s="952"/>
      <c r="UQQ50" s="952"/>
      <c r="UQR50" s="952"/>
      <c r="UQS50" s="952"/>
      <c r="UQT50" s="952"/>
      <c r="UQU50" s="952"/>
      <c r="UQV50" s="952"/>
      <c r="UQW50" s="952"/>
      <c r="UQX50" s="952"/>
      <c r="UQY50" s="952"/>
      <c r="UQZ50" s="952"/>
      <c r="URA50" s="952"/>
      <c r="URB50" s="952"/>
      <c r="URC50" s="952"/>
      <c r="URD50" s="952"/>
      <c r="URE50" s="952"/>
      <c r="URF50" s="952"/>
      <c r="URG50" s="952"/>
      <c r="URH50" s="952"/>
      <c r="URI50" s="952"/>
      <c r="URJ50" s="952"/>
      <c r="URK50" s="952"/>
      <c r="URL50" s="952"/>
      <c r="URM50" s="952"/>
      <c r="URN50" s="952"/>
      <c r="URO50" s="952"/>
      <c r="URP50" s="952"/>
      <c r="URQ50" s="952"/>
      <c r="URR50" s="952"/>
      <c r="URS50" s="952"/>
      <c r="URT50" s="952"/>
      <c r="URU50" s="952"/>
      <c r="URV50" s="952"/>
      <c r="URW50" s="952"/>
      <c r="URX50" s="952"/>
      <c r="URY50" s="952"/>
      <c r="URZ50" s="952"/>
      <c r="USA50" s="952"/>
      <c r="USB50" s="952"/>
      <c r="USC50" s="952"/>
      <c r="USD50" s="952"/>
      <c r="USE50" s="952"/>
      <c r="USF50" s="952"/>
      <c r="USG50" s="952"/>
      <c r="USH50" s="952"/>
      <c r="USI50" s="952"/>
      <c r="USJ50" s="952"/>
      <c r="USK50" s="952"/>
      <c r="USL50" s="952"/>
      <c r="USM50" s="952"/>
      <c r="USN50" s="952"/>
      <c r="USO50" s="952"/>
      <c r="USP50" s="952"/>
      <c r="USQ50" s="952"/>
      <c r="USR50" s="952"/>
      <c r="USS50" s="952"/>
      <c r="UST50" s="952"/>
      <c r="USU50" s="952"/>
      <c r="USV50" s="952"/>
      <c r="USW50" s="952"/>
      <c r="USX50" s="952"/>
      <c r="USY50" s="952"/>
      <c r="USZ50" s="952"/>
      <c r="UTA50" s="952"/>
      <c r="UTB50" s="952"/>
      <c r="UTC50" s="952"/>
      <c r="UTD50" s="952"/>
      <c r="UTE50" s="952"/>
      <c r="UTF50" s="952"/>
      <c r="UTG50" s="952"/>
      <c r="UTH50" s="952"/>
      <c r="UTI50" s="952"/>
      <c r="UTJ50" s="952"/>
      <c r="UTK50" s="952"/>
      <c r="UTL50" s="952"/>
      <c r="UTM50" s="952"/>
      <c r="UTN50" s="952"/>
      <c r="UTO50" s="952"/>
      <c r="UTP50" s="952"/>
      <c r="UTQ50" s="952"/>
      <c r="UTR50" s="952"/>
      <c r="UTS50" s="952"/>
      <c r="UTT50" s="952"/>
      <c r="UTU50" s="952"/>
      <c r="UTV50" s="952"/>
      <c r="UTW50" s="952"/>
      <c r="UTX50" s="952"/>
      <c r="UTY50" s="952"/>
      <c r="UTZ50" s="952"/>
      <c r="UUA50" s="952"/>
      <c r="UUB50" s="952"/>
      <c r="UUC50" s="952"/>
      <c r="UUD50" s="952"/>
      <c r="UUE50" s="952"/>
      <c r="UUF50" s="952"/>
      <c r="UUG50" s="952"/>
      <c r="UUH50" s="952"/>
      <c r="UUI50" s="952"/>
      <c r="UUJ50" s="952"/>
      <c r="UUK50" s="952"/>
      <c r="UUL50" s="952"/>
      <c r="UUM50" s="952"/>
      <c r="UUN50" s="952"/>
      <c r="UUO50" s="952"/>
      <c r="UUP50" s="952"/>
      <c r="UUQ50" s="952"/>
      <c r="UUR50" s="952"/>
      <c r="UUS50" s="952"/>
      <c r="UUT50" s="952"/>
      <c r="UUU50" s="952"/>
      <c r="UUV50" s="952"/>
      <c r="UUW50" s="952"/>
      <c r="UUX50" s="952"/>
      <c r="UUY50" s="952"/>
      <c r="UUZ50" s="952"/>
      <c r="UVA50" s="952"/>
      <c r="UVB50" s="952"/>
      <c r="UVC50" s="952"/>
      <c r="UVD50" s="952"/>
      <c r="UVE50" s="952"/>
      <c r="UVF50" s="952"/>
      <c r="UVG50" s="952"/>
      <c r="UVH50" s="952"/>
      <c r="UVI50" s="952"/>
      <c r="UVJ50" s="952"/>
      <c r="UVK50" s="952"/>
      <c r="UVL50" s="952"/>
      <c r="UVM50" s="952"/>
      <c r="UVN50" s="952"/>
      <c r="UVO50" s="952"/>
      <c r="UVP50" s="952"/>
      <c r="UVQ50" s="952"/>
      <c r="UVR50" s="952"/>
      <c r="UVS50" s="952"/>
      <c r="UVT50" s="952"/>
      <c r="UVU50" s="952"/>
      <c r="UVV50" s="952"/>
      <c r="UVW50" s="952"/>
      <c r="UVX50" s="952"/>
      <c r="UVY50" s="952"/>
      <c r="UVZ50" s="952"/>
      <c r="UWA50" s="952"/>
      <c r="UWB50" s="952"/>
      <c r="UWC50" s="952"/>
      <c r="UWD50" s="952"/>
      <c r="UWE50" s="952"/>
      <c r="UWF50" s="952"/>
      <c r="UWG50" s="952"/>
      <c r="UWH50" s="952"/>
      <c r="UWI50" s="952"/>
      <c r="UWJ50" s="952"/>
      <c r="UWK50" s="952"/>
      <c r="UWL50" s="952"/>
      <c r="UWM50" s="952"/>
      <c r="UWN50" s="952"/>
      <c r="UWO50" s="952"/>
      <c r="UWP50" s="952"/>
      <c r="UWQ50" s="952"/>
      <c r="UWR50" s="952"/>
      <c r="UWS50" s="952"/>
      <c r="UWT50" s="952"/>
      <c r="UWU50" s="952"/>
      <c r="UWV50" s="952"/>
      <c r="UWW50" s="952"/>
      <c r="UWX50" s="952"/>
      <c r="UWY50" s="952"/>
      <c r="UWZ50" s="952"/>
      <c r="UXA50" s="952"/>
      <c r="UXB50" s="952"/>
      <c r="UXC50" s="952"/>
      <c r="UXD50" s="952"/>
      <c r="UXE50" s="952"/>
      <c r="UXF50" s="952"/>
      <c r="UXG50" s="952"/>
      <c r="UXH50" s="952"/>
      <c r="UXI50" s="952"/>
      <c r="UXJ50" s="952"/>
      <c r="UXK50" s="952"/>
      <c r="UXL50" s="952"/>
      <c r="UXM50" s="952"/>
      <c r="UXN50" s="952"/>
      <c r="UXO50" s="952"/>
      <c r="UXP50" s="952"/>
      <c r="UXQ50" s="952"/>
      <c r="UXR50" s="952"/>
      <c r="UXS50" s="952"/>
      <c r="UXT50" s="952"/>
      <c r="UXU50" s="952"/>
      <c r="UXV50" s="952"/>
      <c r="UXW50" s="952"/>
      <c r="UXX50" s="952"/>
      <c r="UXY50" s="952"/>
      <c r="UXZ50" s="952"/>
      <c r="UYA50" s="952"/>
      <c r="UYB50" s="952"/>
      <c r="UYC50" s="952"/>
      <c r="UYD50" s="952"/>
      <c r="UYE50" s="952"/>
      <c r="UYF50" s="952"/>
      <c r="UYG50" s="952"/>
      <c r="UYH50" s="952"/>
      <c r="UYI50" s="952"/>
      <c r="UYJ50" s="952"/>
      <c r="UYK50" s="952"/>
      <c r="UYL50" s="952"/>
      <c r="UYM50" s="952"/>
      <c r="UYN50" s="952"/>
      <c r="UYO50" s="952"/>
      <c r="UYP50" s="952"/>
      <c r="UYQ50" s="952"/>
      <c r="UYR50" s="952"/>
      <c r="UYS50" s="952"/>
      <c r="UYT50" s="952"/>
      <c r="UYU50" s="952"/>
      <c r="UYV50" s="952"/>
      <c r="UYW50" s="952"/>
      <c r="UYX50" s="952"/>
      <c r="UYY50" s="952"/>
      <c r="UYZ50" s="952"/>
      <c r="UZA50" s="952"/>
      <c r="UZB50" s="952"/>
      <c r="UZC50" s="952"/>
      <c r="UZD50" s="952"/>
      <c r="UZE50" s="952"/>
      <c r="UZF50" s="952"/>
      <c r="UZG50" s="952"/>
      <c r="UZH50" s="952"/>
      <c r="UZI50" s="952"/>
      <c r="UZJ50" s="952"/>
      <c r="UZK50" s="952"/>
      <c r="UZL50" s="952"/>
      <c r="UZM50" s="952"/>
      <c r="UZN50" s="952"/>
      <c r="UZO50" s="952"/>
      <c r="UZP50" s="952"/>
      <c r="UZQ50" s="952"/>
      <c r="UZR50" s="952"/>
      <c r="UZS50" s="952"/>
      <c r="UZT50" s="952"/>
      <c r="UZU50" s="952"/>
      <c r="UZV50" s="952"/>
      <c r="UZW50" s="952"/>
      <c r="UZX50" s="952"/>
      <c r="UZY50" s="952"/>
      <c r="UZZ50" s="952"/>
      <c r="VAA50" s="952"/>
      <c r="VAB50" s="952"/>
      <c r="VAC50" s="952"/>
      <c r="VAD50" s="952"/>
      <c r="VAE50" s="952"/>
      <c r="VAF50" s="952"/>
      <c r="VAG50" s="952"/>
      <c r="VAH50" s="952"/>
      <c r="VAI50" s="952"/>
      <c r="VAJ50" s="952"/>
      <c r="VAK50" s="952"/>
      <c r="VAL50" s="952"/>
      <c r="VAM50" s="952"/>
      <c r="VAN50" s="952"/>
      <c r="VAO50" s="952"/>
      <c r="VAP50" s="952"/>
      <c r="VAQ50" s="952"/>
      <c r="VAR50" s="952"/>
      <c r="VAS50" s="952"/>
      <c r="VAT50" s="952"/>
      <c r="VAU50" s="952"/>
      <c r="VAV50" s="952"/>
      <c r="VAW50" s="952"/>
      <c r="VAX50" s="952"/>
      <c r="VAY50" s="952"/>
      <c r="VAZ50" s="952"/>
      <c r="VBA50" s="952"/>
      <c r="VBB50" s="952"/>
      <c r="VBC50" s="952"/>
      <c r="VBD50" s="952"/>
      <c r="VBE50" s="952"/>
      <c r="VBF50" s="952"/>
      <c r="VBG50" s="952"/>
      <c r="VBH50" s="952"/>
      <c r="VBI50" s="952"/>
      <c r="VBJ50" s="952"/>
      <c r="VBK50" s="952"/>
      <c r="VBL50" s="952"/>
      <c r="VBM50" s="952"/>
      <c r="VBN50" s="952"/>
      <c r="VBO50" s="952"/>
      <c r="VBP50" s="952"/>
      <c r="VBQ50" s="952"/>
      <c r="VBR50" s="952"/>
      <c r="VBS50" s="952"/>
      <c r="VBT50" s="952"/>
      <c r="VBU50" s="952"/>
      <c r="VBV50" s="952"/>
      <c r="VBW50" s="952"/>
      <c r="VBX50" s="952"/>
      <c r="VBY50" s="952"/>
      <c r="VBZ50" s="952"/>
      <c r="VCA50" s="952"/>
      <c r="VCB50" s="952"/>
      <c r="VCC50" s="952"/>
      <c r="VCD50" s="952"/>
      <c r="VCE50" s="952"/>
      <c r="VCF50" s="952"/>
      <c r="VCG50" s="952"/>
      <c r="VCH50" s="952"/>
      <c r="VCI50" s="952"/>
      <c r="VCJ50" s="952"/>
      <c r="VCK50" s="952"/>
      <c r="VCL50" s="952"/>
      <c r="VCM50" s="952"/>
      <c r="VCN50" s="952"/>
      <c r="VCO50" s="952"/>
      <c r="VCP50" s="952"/>
      <c r="VCQ50" s="952"/>
      <c r="VCR50" s="952"/>
      <c r="VCS50" s="952"/>
      <c r="VCT50" s="952"/>
      <c r="VCU50" s="952"/>
      <c r="VCV50" s="952"/>
      <c r="VCW50" s="952"/>
      <c r="VCX50" s="952"/>
      <c r="VCY50" s="952"/>
      <c r="VCZ50" s="952"/>
      <c r="VDA50" s="952"/>
      <c r="VDB50" s="952"/>
      <c r="VDC50" s="952"/>
      <c r="VDD50" s="952"/>
      <c r="VDE50" s="952"/>
      <c r="VDF50" s="952"/>
      <c r="VDG50" s="952"/>
      <c r="VDH50" s="952"/>
      <c r="VDI50" s="952"/>
      <c r="VDJ50" s="952"/>
      <c r="VDK50" s="952"/>
      <c r="VDL50" s="952"/>
      <c r="VDM50" s="952"/>
      <c r="VDN50" s="952"/>
      <c r="VDO50" s="952"/>
      <c r="VDP50" s="952"/>
      <c r="VDQ50" s="952"/>
      <c r="VDR50" s="952"/>
      <c r="VDS50" s="952"/>
      <c r="VDT50" s="952"/>
      <c r="VDU50" s="952"/>
      <c r="VDV50" s="952"/>
      <c r="VDW50" s="952"/>
      <c r="VDX50" s="952"/>
      <c r="VDY50" s="952"/>
      <c r="VDZ50" s="952"/>
      <c r="VEA50" s="952"/>
      <c r="VEB50" s="952"/>
      <c r="VEC50" s="952"/>
      <c r="VED50" s="952"/>
      <c r="VEE50" s="952"/>
      <c r="VEF50" s="952"/>
      <c r="VEG50" s="952"/>
      <c r="VEH50" s="952"/>
      <c r="VEI50" s="952"/>
      <c r="VEJ50" s="952"/>
      <c r="VEK50" s="952"/>
      <c r="VEL50" s="952"/>
      <c r="VEM50" s="952"/>
      <c r="VEN50" s="952"/>
      <c r="VEO50" s="952"/>
      <c r="VEP50" s="952"/>
      <c r="VEQ50" s="952"/>
      <c r="VER50" s="952"/>
      <c r="VES50" s="952"/>
      <c r="VET50" s="952"/>
      <c r="VEU50" s="952"/>
      <c r="VEV50" s="952"/>
      <c r="VEW50" s="952"/>
      <c r="VEX50" s="952"/>
      <c r="VEY50" s="952"/>
      <c r="VEZ50" s="952"/>
      <c r="VFA50" s="952"/>
      <c r="VFB50" s="952"/>
      <c r="VFC50" s="952"/>
      <c r="VFD50" s="952"/>
      <c r="VFE50" s="952"/>
      <c r="VFF50" s="952"/>
      <c r="VFG50" s="952"/>
      <c r="VFH50" s="952"/>
      <c r="VFI50" s="952"/>
      <c r="VFJ50" s="952"/>
      <c r="VFK50" s="952"/>
      <c r="VFL50" s="952"/>
      <c r="VFM50" s="952"/>
      <c r="VFN50" s="952"/>
      <c r="VFO50" s="952"/>
      <c r="VFP50" s="952"/>
      <c r="VFQ50" s="952"/>
      <c r="VFR50" s="952"/>
      <c r="VFS50" s="952"/>
      <c r="VFT50" s="952"/>
      <c r="VFU50" s="952"/>
      <c r="VFV50" s="952"/>
      <c r="VFW50" s="952"/>
      <c r="VFX50" s="952"/>
      <c r="VFY50" s="952"/>
      <c r="VFZ50" s="952"/>
      <c r="VGA50" s="952"/>
      <c r="VGB50" s="952"/>
      <c r="VGC50" s="952"/>
      <c r="VGD50" s="952"/>
      <c r="VGE50" s="952"/>
      <c r="VGF50" s="952"/>
      <c r="VGG50" s="952"/>
      <c r="VGH50" s="952"/>
      <c r="VGI50" s="952"/>
      <c r="VGJ50" s="952"/>
      <c r="VGK50" s="952"/>
      <c r="VGL50" s="952"/>
      <c r="VGM50" s="952"/>
      <c r="VGN50" s="952"/>
      <c r="VGO50" s="952"/>
      <c r="VGP50" s="952"/>
      <c r="VGQ50" s="952"/>
      <c r="VGR50" s="952"/>
      <c r="VGS50" s="952"/>
      <c r="VGT50" s="952"/>
      <c r="VGU50" s="952"/>
      <c r="VGV50" s="952"/>
      <c r="VGW50" s="952"/>
      <c r="VGX50" s="952"/>
      <c r="VGY50" s="952"/>
      <c r="VGZ50" s="952"/>
      <c r="VHA50" s="952"/>
      <c r="VHB50" s="952"/>
      <c r="VHC50" s="952"/>
      <c r="VHD50" s="952"/>
      <c r="VHE50" s="952"/>
      <c r="VHF50" s="952"/>
      <c r="VHG50" s="952"/>
      <c r="VHH50" s="952"/>
      <c r="VHI50" s="952"/>
      <c r="VHJ50" s="952"/>
      <c r="VHK50" s="952"/>
      <c r="VHL50" s="952"/>
      <c r="VHM50" s="952"/>
      <c r="VHN50" s="952"/>
      <c r="VHO50" s="952"/>
      <c r="VHP50" s="952"/>
      <c r="VHQ50" s="952"/>
      <c r="VHR50" s="952"/>
      <c r="VHS50" s="952"/>
      <c r="VHT50" s="952"/>
      <c r="VHU50" s="952"/>
      <c r="VHV50" s="952"/>
      <c r="VHW50" s="952"/>
      <c r="VHX50" s="952"/>
      <c r="VHY50" s="952"/>
      <c r="VHZ50" s="952"/>
      <c r="VIA50" s="952"/>
      <c r="VIB50" s="952"/>
      <c r="VIC50" s="952"/>
      <c r="VID50" s="952"/>
      <c r="VIE50" s="952"/>
      <c r="VIF50" s="952"/>
      <c r="VIG50" s="952"/>
      <c r="VIH50" s="952"/>
      <c r="VII50" s="952"/>
      <c r="VIJ50" s="952"/>
      <c r="VIK50" s="952"/>
      <c r="VIL50" s="952"/>
      <c r="VIM50" s="952"/>
      <c r="VIN50" s="952"/>
      <c r="VIO50" s="952"/>
      <c r="VIP50" s="952"/>
      <c r="VIQ50" s="952"/>
      <c r="VIR50" s="952"/>
      <c r="VIS50" s="952"/>
      <c r="VIT50" s="952"/>
      <c r="VIU50" s="952"/>
      <c r="VIV50" s="952"/>
      <c r="VIW50" s="952"/>
      <c r="VIX50" s="952"/>
      <c r="VIY50" s="952"/>
      <c r="VIZ50" s="952"/>
      <c r="VJA50" s="952"/>
      <c r="VJB50" s="952"/>
      <c r="VJC50" s="952"/>
      <c r="VJD50" s="952"/>
      <c r="VJE50" s="952"/>
      <c r="VJF50" s="952"/>
      <c r="VJG50" s="952"/>
      <c r="VJH50" s="952"/>
      <c r="VJI50" s="952"/>
      <c r="VJJ50" s="952"/>
      <c r="VJK50" s="952"/>
      <c r="VJL50" s="952"/>
      <c r="VJM50" s="952"/>
      <c r="VJN50" s="952"/>
      <c r="VJO50" s="952"/>
      <c r="VJP50" s="952"/>
      <c r="VJQ50" s="952"/>
      <c r="VJR50" s="952"/>
      <c r="VJS50" s="952"/>
      <c r="VJT50" s="952"/>
      <c r="VJU50" s="952"/>
      <c r="VJV50" s="952"/>
      <c r="VJW50" s="952"/>
      <c r="VJX50" s="952"/>
      <c r="VJY50" s="952"/>
      <c r="VJZ50" s="952"/>
      <c r="VKA50" s="952"/>
      <c r="VKB50" s="952"/>
      <c r="VKC50" s="952"/>
      <c r="VKD50" s="952"/>
      <c r="VKE50" s="952"/>
      <c r="VKF50" s="952"/>
      <c r="VKG50" s="952"/>
      <c r="VKH50" s="952"/>
      <c r="VKI50" s="952"/>
      <c r="VKJ50" s="952"/>
      <c r="VKK50" s="952"/>
      <c r="VKL50" s="952"/>
      <c r="VKM50" s="952"/>
      <c r="VKN50" s="952"/>
      <c r="VKO50" s="952"/>
      <c r="VKP50" s="952"/>
      <c r="VKQ50" s="952"/>
      <c r="VKR50" s="952"/>
      <c r="VKS50" s="952"/>
      <c r="VKT50" s="952"/>
      <c r="VKU50" s="952"/>
      <c r="VKV50" s="952"/>
      <c r="VKW50" s="952"/>
      <c r="VKX50" s="952"/>
      <c r="VKY50" s="952"/>
      <c r="VKZ50" s="952"/>
      <c r="VLA50" s="952"/>
      <c r="VLB50" s="952"/>
      <c r="VLC50" s="952"/>
      <c r="VLD50" s="952"/>
      <c r="VLE50" s="952"/>
      <c r="VLF50" s="952"/>
      <c r="VLG50" s="952"/>
      <c r="VLH50" s="952"/>
      <c r="VLI50" s="952"/>
      <c r="VLJ50" s="952"/>
      <c r="VLK50" s="952"/>
      <c r="VLL50" s="952"/>
      <c r="VLM50" s="952"/>
      <c r="VLN50" s="952"/>
      <c r="VLO50" s="952"/>
      <c r="VLP50" s="952"/>
      <c r="VLQ50" s="952"/>
      <c r="VLR50" s="952"/>
      <c r="VLS50" s="952"/>
      <c r="VLT50" s="952"/>
      <c r="VLU50" s="952"/>
      <c r="VLV50" s="952"/>
      <c r="VLW50" s="952"/>
      <c r="VLX50" s="952"/>
      <c r="VLY50" s="952"/>
      <c r="VLZ50" s="952"/>
      <c r="VMA50" s="952"/>
      <c r="VMB50" s="952"/>
      <c r="VMC50" s="952"/>
      <c r="VMD50" s="952"/>
      <c r="VME50" s="952"/>
      <c r="VMF50" s="952"/>
      <c r="VMG50" s="952"/>
      <c r="VMH50" s="952"/>
      <c r="VMI50" s="952"/>
      <c r="VMJ50" s="952"/>
      <c r="VMK50" s="952"/>
      <c r="VML50" s="952"/>
      <c r="VMM50" s="952"/>
      <c r="VMN50" s="952"/>
      <c r="VMO50" s="952"/>
      <c r="VMP50" s="952"/>
      <c r="VMQ50" s="952"/>
      <c r="VMR50" s="952"/>
      <c r="VMS50" s="952"/>
      <c r="VMT50" s="952"/>
      <c r="VMU50" s="952"/>
      <c r="VMV50" s="952"/>
      <c r="VMW50" s="952"/>
      <c r="VMX50" s="952"/>
      <c r="VMY50" s="952"/>
      <c r="VMZ50" s="952"/>
      <c r="VNA50" s="952"/>
      <c r="VNB50" s="952"/>
      <c r="VNC50" s="952"/>
      <c r="VND50" s="952"/>
      <c r="VNE50" s="952"/>
      <c r="VNF50" s="952"/>
      <c r="VNG50" s="952"/>
      <c r="VNH50" s="952"/>
      <c r="VNI50" s="952"/>
      <c r="VNJ50" s="952"/>
      <c r="VNK50" s="952"/>
      <c r="VNL50" s="952"/>
      <c r="VNM50" s="952"/>
      <c r="VNN50" s="952"/>
      <c r="VNO50" s="952"/>
      <c r="VNP50" s="952"/>
      <c r="VNQ50" s="952"/>
      <c r="VNR50" s="952"/>
      <c r="VNS50" s="952"/>
      <c r="VNT50" s="952"/>
      <c r="VNU50" s="952"/>
      <c r="VNV50" s="952"/>
      <c r="VNW50" s="952"/>
      <c r="VNX50" s="952"/>
      <c r="VNY50" s="952"/>
      <c r="VNZ50" s="952"/>
      <c r="VOA50" s="952"/>
      <c r="VOB50" s="952"/>
      <c r="VOC50" s="952"/>
      <c r="VOD50" s="952"/>
      <c r="VOE50" s="952"/>
      <c r="VOF50" s="952"/>
      <c r="VOG50" s="952"/>
      <c r="VOH50" s="952"/>
      <c r="VOI50" s="952"/>
      <c r="VOJ50" s="952"/>
      <c r="VOK50" s="952"/>
      <c r="VOL50" s="952"/>
      <c r="VOM50" s="952"/>
      <c r="VON50" s="952"/>
      <c r="VOO50" s="952"/>
      <c r="VOP50" s="952"/>
      <c r="VOQ50" s="952"/>
      <c r="VOR50" s="952"/>
      <c r="VOS50" s="952"/>
      <c r="VOT50" s="952"/>
      <c r="VOU50" s="952"/>
      <c r="VOV50" s="952"/>
      <c r="VOW50" s="952"/>
      <c r="VOX50" s="952"/>
      <c r="VOY50" s="952"/>
      <c r="VOZ50" s="952"/>
      <c r="VPA50" s="952"/>
      <c r="VPB50" s="952"/>
      <c r="VPC50" s="952"/>
      <c r="VPD50" s="952"/>
      <c r="VPE50" s="952"/>
      <c r="VPF50" s="952"/>
      <c r="VPG50" s="952"/>
      <c r="VPH50" s="952"/>
      <c r="VPI50" s="952"/>
      <c r="VPJ50" s="952"/>
      <c r="VPK50" s="952"/>
      <c r="VPL50" s="952"/>
      <c r="VPM50" s="952"/>
      <c r="VPN50" s="952"/>
      <c r="VPO50" s="952"/>
      <c r="VPP50" s="952"/>
      <c r="VPQ50" s="952"/>
      <c r="VPR50" s="952"/>
      <c r="VPS50" s="952"/>
      <c r="VPT50" s="952"/>
      <c r="VPU50" s="952"/>
      <c r="VPV50" s="952"/>
      <c r="VPW50" s="952"/>
      <c r="VPX50" s="952"/>
      <c r="VPY50" s="952"/>
      <c r="VPZ50" s="952"/>
      <c r="VQA50" s="952"/>
      <c r="VQB50" s="952"/>
      <c r="VQC50" s="952"/>
      <c r="VQD50" s="952"/>
      <c r="VQE50" s="952"/>
      <c r="VQF50" s="952"/>
      <c r="VQG50" s="952"/>
      <c r="VQH50" s="952"/>
      <c r="VQI50" s="952"/>
      <c r="VQJ50" s="952"/>
      <c r="VQK50" s="952"/>
      <c r="VQL50" s="952"/>
      <c r="VQM50" s="952"/>
      <c r="VQN50" s="952"/>
      <c r="VQO50" s="952"/>
      <c r="VQP50" s="952"/>
      <c r="VQQ50" s="952"/>
      <c r="VQR50" s="952"/>
      <c r="VQS50" s="952"/>
      <c r="VQT50" s="952"/>
      <c r="VQU50" s="952"/>
      <c r="VQV50" s="952"/>
      <c r="VQW50" s="952"/>
      <c r="VQX50" s="952"/>
      <c r="VQY50" s="952"/>
      <c r="VQZ50" s="952"/>
      <c r="VRA50" s="952"/>
      <c r="VRB50" s="952"/>
      <c r="VRC50" s="952"/>
      <c r="VRD50" s="952"/>
      <c r="VRE50" s="952"/>
      <c r="VRF50" s="952"/>
      <c r="VRG50" s="952"/>
      <c r="VRH50" s="952"/>
      <c r="VRI50" s="952"/>
      <c r="VRJ50" s="952"/>
      <c r="VRK50" s="952"/>
      <c r="VRL50" s="952"/>
      <c r="VRM50" s="952"/>
      <c r="VRN50" s="952"/>
      <c r="VRO50" s="952"/>
      <c r="VRP50" s="952"/>
      <c r="VRQ50" s="952"/>
      <c r="VRR50" s="952"/>
      <c r="VRS50" s="952"/>
      <c r="VRT50" s="952"/>
      <c r="VRU50" s="952"/>
      <c r="VRV50" s="952"/>
      <c r="VRW50" s="952"/>
      <c r="VRX50" s="952"/>
      <c r="VRY50" s="952"/>
      <c r="VRZ50" s="952"/>
      <c r="VSA50" s="952"/>
      <c r="VSB50" s="952"/>
      <c r="VSC50" s="952"/>
      <c r="VSD50" s="952"/>
      <c r="VSE50" s="952"/>
      <c r="VSF50" s="952"/>
      <c r="VSG50" s="952"/>
      <c r="VSH50" s="952"/>
      <c r="VSI50" s="952"/>
      <c r="VSJ50" s="952"/>
      <c r="VSK50" s="952"/>
      <c r="VSL50" s="952"/>
      <c r="VSM50" s="952"/>
      <c r="VSN50" s="952"/>
      <c r="VSO50" s="952"/>
      <c r="VSP50" s="952"/>
      <c r="VSQ50" s="952"/>
      <c r="VSR50" s="952"/>
      <c r="VSS50" s="952"/>
      <c r="VST50" s="952"/>
      <c r="VSU50" s="952"/>
      <c r="VSV50" s="952"/>
      <c r="VSW50" s="952"/>
      <c r="VSX50" s="952"/>
      <c r="VSY50" s="952"/>
      <c r="VSZ50" s="952"/>
      <c r="VTA50" s="952"/>
      <c r="VTB50" s="952"/>
      <c r="VTC50" s="952"/>
      <c r="VTD50" s="952"/>
      <c r="VTE50" s="952"/>
      <c r="VTF50" s="952"/>
      <c r="VTG50" s="952"/>
      <c r="VTH50" s="952"/>
      <c r="VTI50" s="952"/>
      <c r="VTJ50" s="952"/>
      <c r="VTK50" s="952"/>
      <c r="VTL50" s="952"/>
      <c r="VTM50" s="952"/>
      <c r="VTN50" s="952"/>
      <c r="VTO50" s="952"/>
      <c r="VTP50" s="952"/>
      <c r="VTQ50" s="952"/>
      <c r="VTR50" s="952"/>
      <c r="VTS50" s="952"/>
      <c r="VTT50" s="952"/>
      <c r="VTU50" s="952"/>
      <c r="VTV50" s="952"/>
      <c r="VTW50" s="952"/>
      <c r="VTX50" s="952"/>
      <c r="VTY50" s="952"/>
      <c r="VTZ50" s="952"/>
      <c r="VUA50" s="952"/>
      <c r="VUB50" s="952"/>
      <c r="VUC50" s="952"/>
      <c r="VUD50" s="952"/>
      <c r="VUE50" s="952"/>
      <c r="VUF50" s="952"/>
      <c r="VUG50" s="952"/>
      <c r="VUH50" s="952"/>
      <c r="VUI50" s="952"/>
      <c r="VUJ50" s="952"/>
      <c r="VUK50" s="952"/>
      <c r="VUL50" s="952"/>
      <c r="VUM50" s="952"/>
      <c r="VUN50" s="952"/>
      <c r="VUO50" s="952"/>
      <c r="VUP50" s="952"/>
      <c r="VUQ50" s="952"/>
      <c r="VUR50" s="952"/>
      <c r="VUS50" s="952"/>
      <c r="VUT50" s="952"/>
      <c r="VUU50" s="952"/>
      <c r="VUV50" s="952"/>
      <c r="VUW50" s="952"/>
      <c r="VUX50" s="952"/>
      <c r="VUY50" s="952"/>
      <c r="VUZ50" s="952"/>
      <c r="VVA50" s="952"/>
      <c r="VVB50" s="952"/>
      <c r="VVC50" s="952"/>
      <c r="VVD50" s="952"/>
      <c r="VVE50" s="952"/>
      <c r="VVF50" s="952"/>
      <c r="VVG50" s="952"/>
      <c r="VVH50" s="952"/>
      <c r="VVI50" s="952"/>
      <c r="VVJ50" s="952"/>
      <c r="VVK50" s="952"/>
      <c r="VVL50" s="952"/>
      <c r="VVM50" s="952"/>
      <c r="VVN50" s="952"/>
      <c r="VVO50" s="952"/>
      <c r="VVP50" s="952"/>
      <c r="VVQ50" s="952"/>
      <c r="VVR50" s="952"/>
      <c r="VVS50" s="952"/>
      <c r="VVT50" s="952"/>
      <c r="VVU50" s="952"/>
      <c r="VVV50" s="952"/>
      <c r="VVW50" s="952"/>
      <c r="VVX50" s="952"/>
      <c r="VVY50" s="952"/>
      <c r="VVZ50" s="952"/>
      <c r="VWA50" s="952"/>
      <c r="VWB50" s="952"/>
      <c r="VWC50" s="952"/>
      <c r="VWD50" s="952"/>
      <c r="VWE50" s="952"/>
      <c r="VWF50" s="952"/>
      <c r="VWG50" s="952"/>
      <c r="VWH50" s="952"/>
      <c r="VWI50" s="952"/>
      <c r="VWJ50" s="952"/>
      <c r="VWK50" s="952"/>
      <c r="VWL50" s="952"/>
      <c r="VWM50" s="952"/>
      <c r="VWN50" s="952"/>
      <c r="VWO50" s="952"/>
      <c r="VWP50" s="952"/>
      <c r="VWQ50" s="952"/>
      <c r="VWR50" s="952"/>
      <c r="VWS50" s="952"/>
      <c r="VWT50" s="952"/>
      <c r="VWU50" s="952"/>
      <c r="VWV50" s="952"/>
      <c r="VWW50" s="952"/>
      <c r="VWX50" s="952"/>
      <c r="VWY50" s="952"/>
      <c r="VWZ50" s="952"/>
      <c r="VXA50" s="952"/>
      <c r="VXB50" s="952"/>
      <c r="VXC50" s="952"/>
      <c r="VXD50" s="952"/>
      <c r="VXE50" s="952"/>
      <c r="VXF50" s="952"/>
      <c r="VXG50" s="952"/>
      <c r="VXH50" s="952"/>
      <c r="VXI50" s="952"/>
      <c r="VXJ50" s="952"/>
      <c r="VXK50" s="952"/>
      <c r="VXL50" s="952"/>
      <c r="VXM50" s="952"/>
      <c r="VXN50" s="952"/>
      <c r="VXO50" s="952"/>
      <c r="VXP50" s="952"/>
      <c r="VXQ50" s="952"/>
      <c r="VXR50" s="952"/>
      <c r="VXS50" s="952"/>
      <c r="VXT50" s="952"/>
      <c r="VXU50" s="952"/>
      <c r="VXV50" s="952"/>
      <c r="VXW50" s="952"/>
      <c r="VXX50" s="952"/>
      <c r="VXY50" s="952"/>
      <c r="VXZ50" s="952"/>
      <c r="VYA50" s="952"/>
      <c r="VYB50" s="952"/>
      <c r="VYC50" s="952"/>
      <c r="VYD50" s="952"/>
      <c r="VYE50" s="952"/>
      <c r="VYF50" s="952"/>
      <c r="VYG50" s="952"/>
      <c r="VYH50" s="952"/>
      <c r="VYI50" s="952"/>
      <c r="VYJ50" s="952"/>
      <c r="VYK50" s="952"/>
      <c r="VYL50" s="952"/>
      <c r="VYM50" s="952"/>
      <c r="VYN50" s="952"/>
      <c r="VYO50" s="952"/>
      <c r="VYP50" s="952"/>
      <c r="VYQ50" s="952"/>
      <c r="VYR50" s="952"/>
      <c r="VYS50" s="952"/>
      <c r="VYT50" s="952"/>
      <c r="VYU50" s="952"/>
      <c r="VYV50" s="952"/>
      <c r="VYW50" s="952"/>
      <c r="VYX50" s="952"/>
      <c r="VYY50" s="952"/>
      <c r="VYZ50" s="952"/>
      <c r="VZA50" s="952"/>
      <c r="VZB50" s="952"/>
      <c r="VZC50" s="952"/>
      <c r="VZD50" s="952"/>
      <c r="VZE50" s="952"/>
      <c r="VZF50" s="952"/>
      <c r="VZG50" s="952"/>
      <c r="VZH50" s="952"/>
      <c r="VZI50" s="952"/>
      <c r="VZJ50" s="952"/>
      <c r="VZK50" s="952"/>
      <c r="VZL50" s="952"/>
      <c r="VZM50" s="952"/>
      <c r="VZN50" s="952"/>
      <c r="VZO50" s="952"/>
      <c r="VZP50" s="952"/>
      <c r="VZQ50" s="952"/>
      <c r="VZR50" s="952"/>
      <c r="VZS50" s="952"/>
      <c r="VZT50" s="952"/>
      <c r="VZU50" s="952"/>
      <c r="VZV50" s="952"/>
      <c r="VZW50" s="952"/>
      <c r="VZX50" s="952"/>
      <c r="VZY50" s="952"/>
      <c r="VZZ50" s="952"/>
      <c r="WAA50" s="952"/>
      <c r="WAB50" s="952"/>
      <c r="WAC50" s="952"/>
      <c r="WAD50" s="952"/>
      <c r="WAE50" s="952"/>
      <c r="WAF50" s="952"/>
      <c r="WAG50" s="952"/>
      <c r="WAH50" s="952"/>
      <c r="WAI50" s="952"/>
      <c r="WAJ50" s="952"/>
      <c r="WAK50" s="952"/>
      <c r="WAL50" s="952"/>
      <c r="WAM50" s="952"/>
      <c r="WAN50" s="952"/>
      <c r="WAO50" s="952"/>
      <c r="WAP50" s="952"/>
      <c r="WAQ50" s="952"/>
      <c r="WAR50" s="952"/>
      <c r="WAS50" s="952"/>
      <c r="WAT50" s="952"/>
      <c r="WAU50" s="952"/>
      <c r="WAV50" s="952"/>
      <c r="WAW50" s="952"/>
      <c r="WAX50" s="952"/>
      <c r="WAY50" s="952"/>
      <c r="WAZ50" s="952"/>
      <c r="WBA50" s="952"/>
      <c r="WBB50" s="952"/>
      <c r="WBC50" s="952"/>
      <c r="WBD50" s="952"/>
      <c r="WBE50" s="952"/>
      <c r="WBF50" s="952"/>
      <c r="WBG50" s="952"/>
      <c r="WBH50" s="952"/>
      <c r="WBI50" s="952"/>
      <c r="WBJ50" s="952"/>
      <c r="WBK50" s="952"/>
      <c r="WBL50" s="952"/>
      <c r="WBM50" s="952"/>
      <c r="WBN50" s="952"/>
      <c r="WBO50" s="952"/>
      <c r="WBP50" s="952"/>
      <c r="WBQ50" s="952"/>
      <c r="WBR50" s="952"/>
      <c r="WBS50" s="952"/>
      <c r="WBT50" s="952"/>
      <c r="WBU50" s="952"/>
      <c r="WBV50" s="952"/>
      <c r="WBW50" s="952"/>
      <c r="WBX50" s="952"/>
      <c r="WBY50" s="952"/>
      <c r="WBZ50" s="952"/>
      <c r="WCA50" s="952"/>
      <c r="WCB50" s="952"/>
      <c r="WCC50" s="952"/>
      <c r="WCD50" s="952"/>
      <c r="WCE50" s="952"/>
      <c r="WCF50" s="952"/>
      <c r="WCG50" s="952"/>
      <c r="WCH50" s="952"/>
      <c r="WCI50" s="952"/>
      <c r="WCJ50" s="952"/>
      <c r="WCK50" s="952"/>
      <c r="WCL50" s="952"/>
      <c r="WCM50" s="952"/>
      <c r="WCN50" s="952"/>
      <c r="WCO50" s="952"/>
      <c r="WCP50" s="952"/>
      <c r="WCQ50" s="952"/>
      <c r="WCR50" s="952"/>
      <c r="WCS50" s="952"/>
      <c r="WCT50" s="952"/>
      <c r="WCU50" s="952"/>
      <c r="WCV50" s="952"/>
      <c r="WCW50" s="952"/>
      <c r="WCX50" s="952"/>
      <c r="WCY50" s="952"/>
      <c r="WCZ50" s="952"/>
      <c r="WDA50" s="952"/>
      <c r="WDB50" s="952"/>
      <c r="WDC50" s="952"/>
      <c r="WDD50" s="952"/>
      <c r="WDE50" s="952"/>
      <c r="WDF50" s="952"/>
      <c r="WDG50" s="952"/>
      <c r="WDH50" s="952"/>
      <c r="WDI50" s="952"/>
      <c r="WDJ50" s="952"/>
      <c r="WDK50" s="952"/>
      <c r="WDL50" s="952"/>
      <c r="WDM50" s="952"/>
      <c r="WDN50" s="952"/>
      <c r="WDO50" s="952"/>
      <c r="WDP50" s="952"/>
      <c r="WDQ50" s="952"/>
      <c r="WDR50" s="952"/>
      <c r="WDS50" s="952"/>
      <c r="WDT50" s="952"/>
      <c r="WDU50" s="952"/>
      <c r="WDV50" s="952"/>
      <c r="WDW50" s="952"/>
      <c r="WDX50" s="952"/>
      <c r="WDY50" s="952"/>
      <c r="WDZ50" s="952"/>
      <c r="WEA50" s="952"/>
      <c r="WEB50" s="952"/>
      <c r="WEC50" s="952"/>
      <c r="WED50" s="952"/>
      <c r="WEE50" s="952"/>
      <c r="WEF50" s="952"/>
      <c r="WEG50" s="952"/>
      <c r="WEH50" s="952"/>
      <c r="WEI50" s="952"/>
      <c r="WEJ50" s="952"/>
      <c r="WEK50" s="952"/>
      <c r="WEL50" s="952"/>
      <c r="WEM50" s="952"/>
      <c r="WEN50" s="952"/>
      <c r="WEO50" s="952"/>
      <c r="WEP50" s="952"/>
      <c r="WEQ50" s="952"/>
      <c r="WER50" s="952"/>
      <c r="WES50" s="952"/>
      <c r="WET50" s="952"/>
      <c r="WEU50" s="952"/>
      <c r="WEV50" s="952"/>
      <c r="WEW50" s="952"/>
      <c r="WEX50" s="952"/>
      <c r="WEY50" s="952"/>
      <c r="WEZ50" s="952"/>
      <c r="WFA50" s="952"/>
      <c r="WFB50" s="952"/>
      <c r="WFC50" s="952"/>
      <c r="WFD50" s="952"/>
      <c r="WFE50" s="952"/>
      <c r="WFF50" s="952"/>
      <c r="WFG50" s="952"/>
      <c r="WFH50" s="952"/>
      <c r="WFI50" s="952"/>
      <c r="WFJ50" s="952"/>
      <c r="WFK50" s="952"/>
      <c r="WFL50" s="952"/>
      <c r="WFM50" s="952"/>
      <c r="WFN50" s="952"/>
      <c r="WFO50" s="952"/>
      <c r="WFP50" s="952"/>
      <c r="WFQ50" s="952"/>
      <c r="WFR50" s="952"/>
      <c r="WFS50" s="952"/>
      <c r="WFT50" s="952"/>
      <c r="WFU50" s="952"/>
      <c r="WFV50" s="952"/>
      <c r="WFW50" s="952"/>
      <c r="WFX50" s="952"/>
      <c r="WFY50" s="952"/>
      <c r="WFZ50" s="952"/>
      <c r="WGA50" s="952"/>
      <c r="WGB50" s="952"/>
      <c r="WGC50" s="952"/>
      <c r="WGD50" s="952"/>
      <c r="WGE50" s="952"/>
      <c r="WGF50" s="952"/>
      <c r="WGG50" s="952"/>
      <c r="WGH50" s="952"/>
      <c r="WGI50" s="952"/>
      <c r="WGJ50" s="952"/>
      <c r="WGK50" s="952"/>
      <c r="WGL50" s="952"/>
      <c r="WGM50" s="952"/>
      <c r="WGN50" s="952"/>
      <c r="WGO50" s="952"/>
      <c r="WGP50" s="952"/>
      <c r="WGQ50" s="952"/>
      <c r="WGR50" s="952"/>
      <c r="WGS50" s="952"/>
      <c r="WGT50" s="952"/>
      <c r="WGU50" s="952"/>
      <c r="WGV50" s="952"/>
      <c r="WGW50" s="952"/>
      <c r="WGX50" s="952"/>
      <c r="WGY50" s="952"/>
      <c r="WGZ50" s="952"/>
      <c r="WHA50" s="952"/>
      <c r="WHB50" s="952"/>
      <c r="WHC50" s="952"/>
      <c r="WHD50" s="952"/>
      <c r="WHE50" s="952"/>
      <c r="WHF50" s="952"/>
      <c r="WHG50" s="952"/>
      <c r="WHH50" s="952"/>
      <c r="WHI50" s="952"/>
      <c r="WHJ50" s="952"/>
      <c r="WHK50" s="952"/>
      <c r="WHL50" s="952"/>
      <c r="WHM50" s="952"/>
      <c r="WHN50" s="952"/>
      <c r="WHO50" s="952"/>
      <c r="WHP50" s="952"/>
      <c r="WHQ50" s="952"/>
      <c r="WHR50" s="952"/>
      <c r="WHS50" s="952"/>
      <c r="WHT50" s="952"/>
      <c r="WHU50" s="952"/>
      <c r="WHV50" s="952"/>
      <c r="WHW50" s="952"/>
      <c r="WHX50" s="952"/>
      <c r="WHY50" s="952"/>
      <c r="WHZ50" s="952"/>
      <c r="WIA50" s="952"/>
      <c r="WIB50" s="952"/>
      <c r="WIC50" s="952"/>
      <c r="WID50" s="952"/>
      <c r="WIE50" s="952"/>
      <c r="WIF50" s="952"/>
      <c r="WIG50" s="952"/>
      <c r="WIH50" s="952"/>
      <c r="WII50" s="952"/>
      <c r="WIJ50" s="952"/>
      <c r="WIK50" s="952"/>
      <c r="WIL50" s="952"/>
      <c r="WIM50" s="952"/>
      <c r="WIN50" s="952"/>
      <c r="WIO50" s="952"/>
      <c r="WIP50" s="952"/>
      <c r="WIQ50" s="952"/>
      <c r="WIR50" s="952"/>
      <c r="WIS50" s="952"/>
      <c r="WIT50" s="952"/>
      <c r="WIU50" s="952"/>
      <c r="WIV50" s="952"/>
      <c r="WIW50" s="952"/>
      <c r="WIX50" s="952"/>
      <c r="WIY50" s="952"/>
      <c r="WIZ50" s="952"/>
      <c r="WJA50" s="952"/>
      <c r="WJB50" s="952"/>
      <c r="WJC50" s="952"/>
      <c r="WJD50" s="952"/>
      <c r="WJE50" s="952"/>
      <c r="WJF50" s="952"/>
      <c r="WJG50" s="952"/>
      <c r="WJH50" s="952"/>
      <c r="WJI50" s="952"/>
      <c r="WJJ50" s="952"/>
      <c r="WJK50" s="952"/>
      <c r="WJL50" s="952"/>
      <c r="WJM50" s="952"/>
      <c r="WJN50" s="952"/>
      <c r="WJO50" s="952"/>
      <c r="WJP50" s="952"/>
      <c r="WJQ50" s="952"/>
      <c r="WJR50" s="952"/>
      <c r="WJS50" s="952"/>
      <c r="WJT50" s="952"/>
      <c r="WJU50" s="952"/>
      <c r="WJV50" s="952"/>
      <c r="WJW50" s="952"/>
      <c r="WJX50" s="952"/>
      <c r="WJY50" s="952"/>
      <c r="WJZ50" s="952"/>
      <c r="WKA50" s="952"/>
      <c r="WKB50" s="952"/>
      <c r="WKC50" s="952"/>
      <c r="WKD50" s="952"/>
      <c r="WKE50" s="952"/>
      <c r="WKF50" s="952"/>
      <c r="WKG50" s="952"/>
      <c r="WKH50" s="952"/>
      <c r="WKI50" s="952"/>
      <c r="WKJ50" s="952"/>
      <c r="WKK50" s="952"/>
      <c r="WKL50" s="952"/>
      <c r="WKM50" s="952"/>
      <c r="WKN50" s="952"/>
      <c r="WKO50" s="952"/>
      <c r="WKP50" s="952"/>
      <c r="WKQ50" s="952"/>
      <c r="WKR50" s="952"/>
      <c r="WKS50" s="952"/>
      <c r="WKT50" s="952"/>
      <c r="WKU50" s="952"/>
      <c r="WKV50" s="952"/>
      <c r="WKW50" s="952"/>
      <c r="WKX50" s="952"/>
      <c r="WKY50" s="952"/>
      <c r="WKZ50" s="952"/>
      <c r="WLA50" s="952"/>
      <c r="WLB50" s="952"/>
      <c r="WLC50" s="952"/>
      <c r="WLD50" s="952"/>
      <c r="WLE50" s="952"/>
      <c r="WLF50" s="952"/>
      <c r="WLG50" s="952"/>
      <c r="WLH50" s="952"/>
      <c r="WLI50" s="952"/>
      <c r="WLJ50" s="952"/>
      <c r="WLK50" s="952"/>
      <c r="WLL50" s="952"/>
      <c r="WLM50" s="952"/>
      <c r="WLN50" s="952"/>
      <c r="WLO50" s="952"/>
      <c r="WLP50" s="952"/>
      <c r="WLQ50" s="952"/>
      <c r="WLR50" s="952"/>
      <c r="WLS50" s="952"/>
      <c r="WLT50" s="952"/>
      <c r="WLU50" s="952"/>
      <c r="WLV50" s="952"/>
      <c r="WLW50" s="952"/>
      <c r="WLX50" s="952"/>
      <c r="WLY50" s="952"/>
      <c r="WLZ50" s="952"/>
      <c r="WMA50" s="952"/>
      <c r="WMB50" s="952"/>
      <c r="WMC50" s="952"/>
      <c r="WMD50" s="952"/>
      <c r="WME50" s="952"/>
      <c r="WMF50" s="952"/>
      <c r="WMG50" s="952"/>
      <c r="WMH50" s="952"/>
      <c r="WMI50" s="952"/>
      <c r="WMJ50" s="952"/>
      <c r="WMK50" s="952"/>
      <c r="WML50" s="952"/>
      <c r="WMM50" s="952"/>
      <c r="WMN50" s="952"/>
      <c r="WMO50" s="952"/>
      <c r="WMP50" s="952"/>
      <c r="WMQ50" s="952"/>
      <c r="WMR50" s="952"/>
      <c r="WMS50" s="952"/>
      <c r="WMT50" s="952"/>
      <c r="WMU50" s="952"/>
      <c r="WMV50" s="952"/>
      <c r="WMW50" s="952"/>
      <c r="WMX50" s="952"/>
      <c r="WMY50" s="952"/>
      <c r="WMZ50" s="952"/>
      <c r="WNA50" s="952"/>
      <c r="WNB50" s="952"/>
      <c r="WNC50" s="952"/>
      <c r="WND50" s="952"/>
      <c r="WNE50" s="952"/>
      <c r="WNF50" s="952"/>
      <c r="WNG50" s="952"/>
      <c r="WNH50" s="952"/>
      <c r="WNI50" s="952"/>
      <c r="WNJ50" s="952"/>
      <c r="WNK50" s="952"/>
      <c r="WNL50" s="952"/>
      <c r="WNM50" s="952"/>
      <c r="WNN50" s="952"/>
      <c r="WNO50" s="952"/>
      <c r="WNP50" s="952"/>
      <c r="WNQ50" s="952"/>
      <c r="WNR50" s="952"/>
      <c r="WNS50" s="952"/>
      <c r="WNT50" s="952"/>
      <c r="WNU50" s="952"/>
      <c r="WNV50" s="952"/>
      <c r="WNW50" s="952"/>
      <c r="WNX50" s="952"/>
      <c r="WNY50" s="952"/>
      <c r="WNZ50" s="952"/>
      <c r="WOA50" s="952"/>
      <c r="WOB50" s="952"/>
      <c r="WOC50" s="952"/>
      <c r="WOD50" s="952"/>
      <c r="WOE50" s="952"/>
      <c r="WOF50" s="952"/>
      <c r="WOG50" s="952"/>
      <c r="WOH50" s="952"/>
      <c r="WOI50" s="952"/>
      <c r="WOJ50" s="952"/>
      <c r="WOK50" s="952"/>
      <c r="WOL50" s="952"/>
      <c r="WOM50" s="952"/>
      <c r="WON50" s="952"/>
      <c r="WOO50" s="952"/>
      <c r="WOP50" s="952"/>
      <c r="WOQ50" s="952"/>
      <c r="WOR50" s="952"/>
      <c r="WOS50" s="952"/>
      <c r="WOT50" s="952"/>
      <c r="WOU50" s="952"/>
      <c r="WOV50" s="952"/>
      <c r="WOW50" s="952"/>
      <c r="WOX50" s="952"/>
      <c r="WOY50" s="952"/>
      <c r="WOZ50" s="952"/>
      <c r="WPA50" s="952"/>
      <c r="WPB50" s="952"/>
      <c r="WPC50" s="952"/>
      <c r="WPD50" s="952"/>
      <c r="WPE50" s="952"/>
      <c r="WPF50" s="952"/>
      <c r="WPG50" s="952"/>
      <c r="WPH50" s="952"/>
      <c r="WPI50" s="952"/>
      <c r="WPJ50" s="952"/>
      <c r="WPK50" s="952"/>
      <c r="WPL50" s="952"/>
      <c r="WPM50" s="952"/>
      <c r="WPN50" s="952"/>
      <c r="WPO50" s="952"/>
      <c r="WPP50" s="952"/>
      <c r="WPQ50" s="952"/>
      <c r="WPR50" s="952"/>
      <c r="WPS50" s="952"/>
      <c r="WPT50" s="952"/>
      <c r="WPU50" s="952"/>
      <c r="WPV50" s="952"/>
      <c r="WPW50" s="952"/>
      <c r="WPX50" s="952"/>
      <c r="WPY50" s="952"/>
      <c r="WPZ50" s="952"/>
      <c r="WQA50" s="952"/>
      <c r="WQB50" s="952"/>
      <c r="WQC50" s="952"/>
      <c r="WQD50" s="952"/>
      <c r="WQE50" s="952"/>
      <c r="WQF50" s="952"/>
      <c r="WQG50" s="952"/>
      <c r="WQH50" s="952"/>
      <c r="WQI50" s="952"/>
      <c r="WQJ50" s="952"/>
      <c r="WQK50" s="952"/>
      <c r="WQL50" s="952"/>
      <c r="WQM50" s="952"/>
      <c r="WQN50" s="952"/>
      <c r="WQO50" s="952"/>
      <c r="WQP50" s="952"/>
      <c r="WQQ50" s="952"/>
      <c r="WQR50" s="952"/>
      <c r="WQS50" s="952"/>
      <c r="WQT50" s="952"/>
      <c r="WQU50" s="952"/>
      <c r="WQV50" s="952"/>
      <c r="WQW50" s="952"/>
      <c r="WQX50" s="952"/>
      <c r="WQY50" s="952"/>
      <c r="WQZ50" s="952"/>
      <c r="WRA50" s="952"/>
      <c r="WRB50" s="952"/>
      <c r="WRC50" s="952"/>
      <c r="WRD50" s="952"/>
      <c r="WRE50" s="952"/>
      <c r="WRF50" s="952"/>
      <c r="WRG50" s="952"/>
      <c r="WRH50" s="952"/>
      <c r="WRI50" s="952"/>
      <c r="WRJ50" s="952"/>
      <c r="WRK50" s="952"/>
      <c r="WRL50" s="952"/>
      <c r="WRM50" s="952"/>
      <c r="WRN50" s="952"/>
      <c r="WRO50" s="952"/>
      <c r="WRP50" s="952"/>
      <c r="WRQ50" s="952"/>
      <c r="WRR50" s="952"/>
      <c r="WRS50" s="952"/>
      <c r="WRT50" s="952"/>
      <c r="WRU50" s="952"/>
      <c r="WRV50" s="952"/>
      <c r="WRW50" s="952"/>
      <c r="WRX50" s="952"/>
      <c r="WRY50" s="952"/>
      <c r="WRZ50" s="952"/>
      <c r="WSA50" s="952"/>
      <c r="WSB50" s="952"/>
      <c r="WSC50" s="952"/>
      <c r="WSD50" s="952"/>
      <c r="WSE50" s="952"/>
      <c r="WSF50" s="952"/>
      <c r="WSG50" s="952"/>
      <c r="WSH50" s="952"/>
      <c r="WSI50" s="952"/>
      <c r="WSJ50" s="952"/>
      <c r="WSK50" s="952"/>
      <c r="WSL50" s="952"/>
      <c r="WSM50" s="952"/>
      <c r="WSN50" s="952"/>
      <c r="WSO50" s="952"/>
      <c r="WSP50" s="952"/>
      <c r="WSQ50" s="952"/>
      <c r="WSR50" s="952"/>
      <c r="WSS50" s="952"/>
      <c r="WST50" s="952"/>
      <c r="WSU50" s="952"/>
      <c r="WSV50" s="952"/>
      <c r="WSW50" s="952"/>
      <c r="WSX50" s="952"/>
      <c r="WSY50" s="952"/>
      <c r="WSZ50" s="952"/>
      <c r="WTA50" s="952"/>
      <c r="WTB50" s="952"/>
      <c r="WTC50" s="952"/>
      <c r="WTD50" s="952"/>
      <c r="WTE50" s="952"/>
      <c r="WTF50" s="952"/>
      <c r="WTG50" s="952"/>
      <c r="WTH50" s="952"/>
      <c r="WTI50" s="952"/>
      <c r="WTJ50" s="952"/>
      <c r="WTK50" s="952"/>
      <c r="WTL50" s="952"/>
      <c r="WTM50" s="952"/>
      <c r="WTN50" s="952"/>
      <c r="WTO50" s="952"/>
      <c r="WTP50" s="952"/>
      <c r="WTQ50" s="952"/>
      <c r="WTR50" s="952"/>
      <c r="WTS50" s="952"/>
      <c r="WTT50" s="952"/>
      <c r="WTU50" s="952"/>
      <c r="WTV50" s="952"/>
      <c r="WTW50" s="952"/>
      <c r="WTX50" s="952"/>
      <c r="WTY50" s="952"/>
      <c r="WTZ50" s="952"/>
      <c r="WUA50" s="952"/>
      <c r="WUB50" s="952"/>
      <c r="WUC50" s="952"/>
      <c r="WUD50" s="952"/>
      <c r="WUE50" s="952"/>
      <c r="WUF50" s="952"/>
      <c r="WUG50" s="952"/>
      <c r="WUH50" s="952"/>
      <c r="WUI50" s="952"/>
      <c r="WUJ50" s="952"/>
      <c r="WUK50" s="952"/>
      <c r="WUL50" s="952"/>
      <c r="WUM50" s="952"/>
      <c r="WUN50" s="952"/>
      <c r="WUO50" s="952"/>
      <c r="WUP50" s="952"/>
      <c r="WUQ50" s="952"/>
      <c r="WUR50" s="952"/>
      <c r="WUS50" s="952"/>
      <c r="WUT50" s="952"/>
      <c r="WUU50" s="952"/>
      <c r="WUV50" s="952"/>
      <c r="WUW50" s="952"/>
      <c r="WUX50" s="952"/>
      <c r="WUY50" s="952"/>
      <c r="WUZ50" s="952"/>
      <c r="WVA50" s="952"/>
      <c r="WVB50" s="952"/>
      <c r="WVC50" s="952"/>
      <c r="WVD50" s="952"/>
      <c r="WVE50" s="952"/>
      <c r="WVF50" s="952"/>
      <c r="WVG50" s="952"/>
      <c r="WVH50" s="952"/>
      <c r="WVI50" s="952"/>
      <c r="WVJ50" s="952"/>
      <c r="WVK50" s="952"/>
      <c r="WVL50" s="952"/>
      <c r="WVM50" s="952"/>
      <c r="WVN50" s="952"/>
      <c r="WVO50" s="952"/>
      <c r="WVP50" s="952"/>
      <c r="WVQ50" s="952"/>
      <c r="WVR50" s="952"/>
      <c r="WVS50" s="952"/>
      <c r="WVT50" s="952"/>
      <c r="WVU50" s="952"/>
      <c r="WVV50" s="952"/>
      <c r="WVW50" s="952"/>
      <c r="WVX50" s="952"/>
      <c r="WVY50" s="952"/>
      <c r="WVZ50" s="952"/>
      <c r="WWA50" s="952"/>
      <c r="WWB50" s="952"/>
      <c r="WWC50" s="952"/>
      <c r="WWD50" s="952"/>
      <c r="WWE50" s="952"/>
      <c r="WWF50" s="952"/>
      <c r="WWG50" s="952"/>
      <c r="WWH50" s="952"/>
      <c r="WWI50" s="952"/>
      <c r="WWJ50" s="952"/>
      <c r="WWK50" s="952"/>
      <c r="WWL50" s="952"/>
      <c r="WWM50" s="952"/>
      <c r="WWN50" s="952"/>
      <c r="WWO50" s="952"/>
      <c r="WWP50" s="952"/>
      <c r="WWQ50" s="952"/>
      <c r="WWR50" s="952"/>
      <c r="WWS50" s="952"/>
      <c r="WWT50" s="952"/>
      <c r="WWU50" s="952"/>
      <c r="WWV50" s="952"/>
      <c r="WWW50" s="952"/>
      <c r="WWX50" s="952"/>
      <c r="WWY50" s="952"/>
      <c r="WWZ50" s="952"/>
      <c r="WXA50" s="952"/>
      <c r="WXB50" s="952"/>
      <c r="WXC50" s="952"/>
      <c r="WXD50" s="952"/>
      <c r="WXE50" s="952"/>
      <c r="WXF50" s="952"/>
      <c r="WXG50" s="952"/>
      <c r="WXH50" s="952"/>
      <c r="WXI50" s="952"/>
      <c r="WXJ50" s="952"/>
      <c r="WXK50" s="952"/>
      <c r="WXL50" s="952"/>
      <c r="WXM50" s="952"/>
      <c r="WXN50" s="952"/>
      <c r="WXO50" s="952"/>
      <c r="WXP50" s="952"/>
      <c r="WXQ50" s="952"/>
      <c r="WXR50" s="952"/>
      <c r="WXS50" s="952"/>
      <c r="WXT50" s="952"/>
      <c r="WXU50" s="952"/>
      <c r="WXV50" s="952"/>
      <c r="WXW50" s="952"/>
      <c r="WXX50" s="952"/>
      <c r="WXY50" s="952"/>
      <c r="WXZ50" s="952"/>
      <c r="WYA50" s="952"/>
      <c r="WYB50" s="952"/>
      <c r="WYC50" s="952"/>
      <c r="WYD50" s="952"/>
      <c r="WYE50" s="952"/>
      <c r="WYF50" s="952"/>
      <c r="WYG50" s="952"/>
      <c r="WYH50" s="952"/>
      <c r="WYI50" s="952"/>
      <c r="WYJ50" s="952"/>
      <c r="WYK50" s="952"/>
      <c r="WYL50" s="952"/>
      <c r="WYM50" s="952"/>
      <c r="WYN50" s="952"/>
      <c r="WYO50" s="952"/>
      <c r="WYP50" s="952"/>
      <c r="WYQ50" s="952"/>
      <c r="WYR50" s="952"/>
      <c r="WYS50" s="952"/>
      <c r="WYT50" s="952"/>
      <c r="WYU50" s="952"/>
      <c r="WYV50" s="952"/>
      <c r="WYW50" s="952"/>
      <c r="WYX50" s="952"/>
      <c r="WYY50" s="952"/>
      <c r="WYZ50" s="952"/>
      <c r="WZA50" s="952"/>
      <c r="WZB50" s="952"/>
      <c r="WZC50" s="952"/>
      <c r="WZD50" s="952"/>
      <c r="WZE50" s="952"/>
      <c r="WZF50" s="952"/>
      <c r="WZG50" s="952"/>
      <c r="WZH50" s="952"/>
      <c r="WZI50" s="952"/>
      <c r="WZJ50" s="952"/>
      <c r="WZK50" s="952"/>
      <c r="WZL50" s="952"/>
      <c r="WZM50" s="952"/>
      <c r="WZN50" s="952"/>
      <c r="WZO50" s="952"/>
      <c r="WZP50" s="952"/>
      <c r="WZQ50" s="952"/>
      <c r="WZR50" s="952"/>
      <c r="WZS50" s="952"/>
      <c r="WZT50" s="952"/>
      <c r="WZU50" s="952"/>
      <c r="WZV50" s="952"/>
      <c r="WZW50" s="952"/>
      <c r="WZX50" s="952"/>
      <c r="WZY50" s="952"/>
      <c r="WZZ50" s="952"/>
      <c r="XAA50" s="952"/>
      <c r="XAB50" s="952"/>
      <c r="XAC50" s="952"/>
      <c r="XAD50" s="952"/>
      <c r="XAE50" s="952"/>
      <c r="XAF50" s="952"/>
      <c r="XAG50" s="952"/>
      <c r="XAH50" s="952"/>
      <c r="XAI50" s="952"/>
      <c r="XAJ50" s="952"/>
      <c r="XAK50" s="952"/>
      <c r="XAL50" s="952"/>
      <c r="XAM50" s="952"/>
      <c r="XAN50" s="952"/>
      <c r="XAO50" s="952"/>
      <c r="XAP50" s="952"/>
      <c r="XAQ50" s="952"/>
      <c r="XAR50" s="952"/>
      <c r="XAS50" s="952"/>
      <c r="XAT50" s="952"/>
      <c r="XAU50" s="952"/>
      <c r="XAV50" s="952"/>
      <c r="XAW50" s="952"/>
      <c r="XAX50" s="952"/>
      <c r="XAY50" s="952"/>
      <c r="XAZ50" s="952"/>
      <c r="XBA50" s="952"/>
      <c r="XBB50" s="952"/>
      <c r="XBC50" s="952"/>
      <c r="XBD50" s="952"/>
      <c r="XBE50" s="952"/>
      <c r="XBF50" s="952"/>
      <c r="XBG50" s="952"/>
      <c r="XBH50" s="952"/>
      <c r="XBI50" s="952"/>
      <c r="XBJ50" s="952"/>
      <c r="XBK50" s="952"/>
      <c r="XBL50" s="952"/>
      <c r="XBM50" s="952"/>
      <c r="XBN50" s="952"/>
      <c r="XBO50" s="952"/>
      <c r="XBP50" s="952"/>
      <c r="XBQ50" s="952"/>
      <c r="XBR50" s="952"/>
      <c r="XBS50" s="952"/>
      <c r="XBT50" s="952"/>
      <c r="XBU50" s="952"/>
      <c r="XBV50" s="952"/>
      <c r="XBW50" s="952"/>
      <c r="XBX50" s="952"/>
      <c r="XBY50" s="952"/>
      <c r="XBZ50" s="952"/>
      <c r="XCA50" s="952"/>
      <c r="XCB50" s="952"/>
      <c r="XCC50" s="952"/>
      <c r="XCD50" s="952"/>
      <c r="XCE50" s="952"/>
      <c r="XCF50" s="952"/>
      <c r="XCG50" s="952"/>
      <c r="XCH50" s="952"/>
      <c r="XCI50" s="952"/>
      <c r="XCJ50" s="952"/>
      <c r="XCK50" s="952"/>
      <c r="XCL50" s="952"/>
      <c r="XCM50" s="952"/>
      <c r="XCN50" s="952"/>
      <c r="XCO50" s="952"/>
      <c r="XCP50" s="952"/>
      <c r="XCQ50" s="952"/>
      <c r="XCR50" s="952"/>
      <c r="XCS50" s="952"/>
      <c r="XCT50" s="952"/>
      <c r="XCU50" s="952"/>
      <c r="XCV50" s="952"/>
      <c r="XCW50" s="952"/>
      <c r="XCX50" s="952"/>
      <c r="XCY50" s="952"/>
      <c r="XCZ50" s="952"/>
      <c r="XDA50" s="952"/>
      <c r="XDB50" s="952"/>
      <c r="XDC50" s="952"/>
      <c r="XDD50" s="952"/>
      <c r="XDE50" s="952"/>
      <c r="XDF50" s="952"/>
      <c r="XDG50" s="952"/>
      <c r="XDH50" s="952"/>
      <c r="XDI50" s="952"/>
      <c r="XDJ50" s="952"/>
      <c r="XDK50" s="952"/>
      <c r="XDL50" s="952"/>
      <c r="XDM50" s="952"/>
      <c r="XDN50" s="952"/>
      <c r="XDO50" s="952"/>
      <c r="XDP50" s="952"/>
      <c r="XDQ50" s="952"/>
      <c r="XDR50" s="952"/>
      <c r="XDS50" s="952"/>
      <c r="XDT50" s="952"/>
      <c r="XDU50" s="952"/>
      <c r="XDV50" s="952"/>
      <c r="XDW50" s="952"/>
      <c r="XDX50" s="952"/>
      <c r="XDY50" s="952"/>
      <c r="XDZ50" s="952"/>
      <c r="XEA50" s="952"/>
      <c r="XEB50" s="952"/>
      <c r="XEC50" s="952"/>
    </row>
    <row r="51" spans="1:16357" ht="30" customHeight="1">
      <c r="A51" s="97" t="s">
        <v>104</v>
      </c>
      <c r="B51" s="101" t="s">
        <v>105</v>
      </c>
      <c r="C51" s="100"/>
      <c r="D51" s="100"/>
      <c r="E51" s="100"/>
      <c r="F51" s="100"/>
      <c r="G51" s="100"/>
      <c r="H51" s="100"/>
      <c r="I51" s="100"/>
      <c r="J51" s="100"/>
      <c r="K51" s="100"/>
      <c r="L51" s="100"/>
      <c r="M51" s="100"/>
      <c r="N51" s="100"/>
      <c r="O51" s="5"/>
      <c r="P51" s="5"/>
      <c r="Q51" s="5"/>
      <c r="R51" s="5"/>
      <c r="S51" s="5"/>
      <c r="T51" s="5"/>
      <c r="U51" s="7"/>
      <c r="V51" s="7"/>
      <c r="W51" s="7"/>
      <c r="X51" s="7"/>
      <c r="Y51" s="35"/>
      <c r="Z51" s="7"/>
      <c r="AA51" s="7"/>
      <c r="AB51" s="7"/>
      <c r="AC51" s="7"/>
      <c r="AD51" s="35"/>
      <c r="AE51" s="7"/>
      <c r="AF51" s="7"/>
      <c r="AG51" s="7"/>
      <c r="AH51" s="7"/>
      <c r="AI51" s="35"/>
      <c r="AJ51" s="7"/>
      <c r="AK51" s="90"/>
      <c r="AL51" s="5"/>
      <c r="AM51" s="168"/>
      <c r="AN51" s="168"/>
      <c r="AO51" s="168"/>
      <c r="AP51" s="168"/>
      <c r="AQ51" s="168"/>
      <c r="AR51" s="168"/>
      <c r="AS51" s="168"/>
      <c r="AT51" s="168"/>
      <c r="AU51" s="168"/>
      <c r="AV51" s="168"/>
      <c r="AW51" s="168"/>
      <c r="AX51" s="168"/>
      <c r="AY51" s="168"/>
      <c r="AZ51" s="168"/>
      <c r="BA51" s="168"/>
      <c r="BB51" s="168"/>
      <c r="BC51" s="168"/>
      <c r="BD51" s="168"/>
      <c r="BE51" s="168"/>
      <c r="BF51" s="634"/>
      <c r="BG51" s="168"/>
      <c r="BH51" s="168"/>
      <c r="BI51" s="168"/>
      <c r="BJ51" s="168"/>
      <c r="BK51" s="629"/>
      <c r="BL51" s="168"/>
      <c r="BM51" s="168"/>
      <c r="BN51" s="168"/>
      <c r="BO51" s="168"/>
      <c r="BP51" s="629"/>
      <c r="BQ51" s="168"/>
      <c r="BR51" s="168"/>
      <c r="BS51" s="168"/>
      <c r="BT51" s="168"/>
      <c r="BV51" s="168"/>
      <c r="BW51" s="168"/>
      <c r="BX51" s="168"/>
      <c r="CA51" s="168"/>
      <c r="CB51" s="168"/>
      <c r="CC51" s="168"/>
    </row>
    <row r="52" spans="1:16357" ht="51.45">
      <c r="A52" s="112" t="s">
        <v>789</v>
      </c>
      <c r="B52" s="112" t="s">
        <v>790</v>
      </c>
      <c r="U52" s="6"/>
      <c r="V52" s="6"/>
      <c r="W52" s="6"/>
      <c r="X52" s="6"/>
      <c r="Y52" s="38"/>
      <c r="Z52" s="6"/>
      <c r="AA52" s="6"/>
      <c r="AB52" s="6"/>
      <c r="AC52" s="6"/>
      <c r="AD52" s="38"/>
      <c r="AE52" s="6"/>
      <c r="AF52" s="6"/>
      <c r="AG52" s="6"/>
      <c r="AH52" s="6"/>
      <c r="AI52" s="38"/>
      <c r="AJ52" s="6"/>
      <c r="AK52" s="89"/>
      <c r="AL52" s="5"/>
      <c r="AM52" s="6"/>
      <c r="AN52" s="6"/>
      <c r="AO52" s="38"/>
      <c r="AP52" s="6"/>
      <c r="AQ52" s="6"/>
      <c r="AR52" s="6"/>
      <c r="AS52" s="6"/>
      <c r="AT52" s="38"/>
      <c r="AU52" s="6"/>
      <c r="AV52" s="6"/>
      <c r="AW52" s="6"/>
      <c r="AX52" s="6"/>
      <c r="AY52" s="38"/>
      <c r="AZ52" s="6"/>
      <c r="BA52" s="6"/>
      <c r="BB52" s="6"/>
      <c r="BC52" s="6"/>
      <c r="BD52" s="38"/>
      <c r="BE52" s="6"/>
      <c r="BF52" s="635"/>
      <c r="BG52" s="6"/>
      <c r="BH52" s="6"/>
      <c r="BI52" s="38"/>
      <c r="BJ52" s="6"/>
      <c r="BK52" s="630"/>
      <c r="BL52" s="6"/>
      <c r="BM52" s="6"/>
      <c r="BN52" s="38"/>
      <c r="BO52" s="6"/>
      <c r="BP52" s="630"/>
      <c r="BQ52" s="6"/>
      <c r="BR52" s="6"/>
      <c r="BS52" s="38"/>
      <c r="BT52" s="6"/>
    </row>
    <row r="53" spans="1:16357" ht="12.9">
      <c r="A53" s="953"/>
      <c r="B53" s="953"/>
      <c r="C53" s="953"/>
      <c r="D53" s="953"/>
      <c r="E53" s="953"/>
      <c r="F53" s="953"/>
      <c r="G53" s="953"/>
      <c r="H53" s="953"/>
      <c r="I53" s="953"/>
      <c r="J53" s="953"/>
      <c r="K53" s="953"/>
      <c r="L53" s="953"/>
      <c r="M53" s="953"/>
      <c r="N53" s="953"/>
      <c r="O53" s="5"/>
      <c r="P53" s="5"/>
      <c r="Q53" s="5"/>
      <c r="R53" s="5"/>
      <c r="S53" s="5"/>
      <c r="T53" s="5"/>
      <c r="U53" s="7"/>
      <c r="V53" s="7"/>
      <c r="W53" s="7"/>
      <c r="X53" s="7"/>
      <c r="Y53" s="35"/>
      <c r="Z53" s="7"/>
      <c r="AA53" s="7"/>
      <c r="AB53" s="7"/>
      <c r="AC53" s="7"/>
      <c r="AD53" s="35"/>
      <c r="AE53" s="7"/>
      <c r="AF53" s="7"/>
      <c r="AG53" s="7"/>
      <c r="AH53" s="7"/>
      <c r="AI53" s="35"/>
      <c r="AJ53" s="7"/>
      <c r="AK53" s="90"/>
      <c r="AL53" s="5"/>
      <c r="AM53" s="7"/>
      <c r="AN53" s="7"/>
      <c r="AO53" s="35"/>
      <c r="AP53" s="7"/>
      <c r="AQ53" s="7"/>
      <c r="AR53" s="7"/>
      <c r="AS53" s="7"/>
      <c r="AT53" s="35"/>
      <c r="AU53" s="7"/>
      <c r="AV53" s="7"/>
      <c r="AW53" s="7"/>
      <c r="AX53" s="7"/>
      <c r="AY53" s="35"/>
      <c r="AZ53" s="7"/>
      <c r="BA53" s="7"/>
      <c r="BB53" s="7"/>
      <c r="BC53" s="7"/>
      <c r="BD53" s="35"/>
      <c r="BE53" s="7"/>
      <c r="BF53" s="636"/>
      <c r="BG53" s="7"/>
      <c r="BH53" s="7"/>
      <c r="BI53" s="35"/>
      <c r="BJ53" s="7"/>
      <c r="BK53" s="8"/>
      <c r="BL53" s="7"/>
      <c r="BM53" s="7"/>
      <c r="BN53" s="35"/>
      <c r="BO53" s="7"/>
      <c r="BP53" s="8"/>
      <c r="BQ53" s="7"/>
      <c r="BR53" s="7"/>
      <c r="BS53" s="35"/>
      <c r="BT53" s="7"/>
    </row>
    <row r="54" spans="1:16357" ht="15" customHeight="1">
      <c r="U54" s="6"/>
      <c r="V54" s="6"/>
      <c r="W54" s="6"/>
      <c r="X54" s="6"/>
      <c r="Y54" s="38"/>
      <c r="Z54" s="6"/>
      <c r="AA54" s="6"/>
      <c r="AB54" s="6"/>
      <c r="AC54" s="6"/>
      <c r="AD54" s="38"/>
      <c r="AE54" s="6"/>
      <c r="AF54" s="6"/>
      <c r="AG54" s="6"/>
      <c r="AH54" s="6"/>
      <c r="AI54" s="38"/>
      <c r="AJ54" s="6"/>
      <c r="AK54" s="89"/>
      <c r="AL54" s="5"/>
      <c r="AM54" s="6"/>
      <c r="AN54" s="6"/>
      <c r="AO54" s="38"/>
      <c r="AP54" s="6"/>
      <c r="AQ54" s="6"/>
      <c r="AR54" s="6"/>
      <c r="AS54" s="6"/>
      <c r="AT54" s="38"/>
      <c r="AU54" s="6"/>
      <c r="AV54" s="6"/>
      <c r="AW54" s="6"/>
      <c r="AX54" s="6"/>
      <c r="AY54" s="38"/>
      <c r="AZ54" s="6"/>
      <c r="BA54" s="6"/>
      <c r="BB54" s="6"/>
      <c r="BC54" s="6"/>
      <c r="BD54" s="38"/>
      <c r="BE54" s="6"/>
      <c r="BF54" s="635"/>
      <c r="BG54" s="6"/>
      <c r="BH54" s="6"/>
      <c r="BI54" s="38"/>
      <c r="BJ54" s="6"/>
      <c r="BK54" s="630"/>
      <c r="BL54" s="6"/>
      <c r="BM54" s="6"/>
      <c r="BN54" s="38"/>
      <c r="BO54" s="6"/>
      <c r="BP54" s="630"/>
      <c r="BQ54" s="6"/>
      <c r="BR54" s="6"/>
      <c r="BS54" s="38"/>
      <c r="BT54" s="6"/>
    </row>
    <row r="55" spans="1:16357" ht="28.5" customHeight="1">
      <c r="U55" s="6"/>
      <c r="V55" s="6"/>
      <c r="W55" s="6"/>
      <c r="X55" s="6"/>
      <c r="Y55" s="38"/>
      <c r="Z55" s="6"/>
      <c r="AA55" s="6"/>
      <c r="AB55" s="6"/>
      <c r="AC55" s="6"/>
      <c r="AD55" s="38"/>
      <c r="AE55" s="6"/>
      <c r="AF55" s="6"/>
      <c r="AG55" s="6"/>
      <c r="AH55" s="6"/>
      <c r="AI55" s="38"/>
      <c r="AJ55" s="6"/>
      <c r="AK55" s="89"/>
      <c r="AL55" s="5"/>
      <c r="AM55" s="6"/>
      <c r="AN55" s="6"/>
      <c r="AO55" s="38"/>
      <c r="AP55" s="6"/>
      <c r="AQ55" s="6"/>
      <c r="AR55" s="6"/>
      <c r="AS55" s="6"/>
      <c r="AT55" s="38"/>
      <c r="AU55" s="6"/>
      <c r="AV55" s="6"/>
      <c r="AW55" s="6"/>
      <c r="AX55" s="6"/>
      <c r="AY55" s="38"/>
      <c r="AZ55" s="6"/>
      <c r="BA55" s="6"/>
      <c r="BB55" s="6"/>
      <c r="BC55" s="6"/>
      <c r="BD55" s="38"/>
      <c r="BE55" s="6"/>
      <c r="BF55" s="635"/>
      <c r="BG55" s="6"/>
      <c r="BH55" s="6"/>
      <c r="BI55" s="38"/>
      <c r="BJ55" s="6"/>
      <c r="BK55" s="630"/>
      <c r="BL55" s="6"/>
      <c r="BM55" s="6"/>
      <c r="BN55" s="38"/>
      <c r="BO55" s="6"/>
      <c r="BP55" s="630"/>
      <c r="BQ55" s="6"/>
      <c r="BR55" s="6"/>
      <c r="BS55" s="38"/>
      <c r="BT55" s="6"/>
    </row>
    <row r="56" spans="1:16357" ht="28.5" customHeight="1">
      <c r="U56" s="6"/>
      <c r="V56" s="6"/>
      <c r="W56" s="6"/>
      <c r="X56" s="6"/>
      <c r="Y56" s="38"/>
      <c r="Z56" s="6"/>
      <c r="AA56" s="6"/>
      <c r="AB56" s="6"/>
      <c r="AC56" s="6"/>
      <c r="AD56" s="38"/>
      <c r="AE56" s="6"/>
      <c r="AF56" s="6"/>
      <c r="AG56" s="6"/>
      <c r="AH56" s="6"/>
      <c r="AI56" s="38"/>
      <c r="AJ56" s="6"/>
      <c r="AK56" s="89"/>
      <c r="AL56" s="5"/>
      <c r="AM56" s="6"/>
      <c r="AN56" s="6"/>
      <c r="AO56" s="38"/>
      <c r="AP56" s="6"/>
      <c r="AQ56" s="6"/>
      <c r="AR56" s="6"/>
      <c r="AS56" s="6"/>
      <c r="AT56" s="38"/>
      <c r="AU56" s="6"/>
      <c r="AV56" s="6"/>
      <c r="AW56" s="6"/>
      <c r="AX56" s="6"/>
      <c r="AY56" s="38"/>
      <c r="AZ56" s="6"/>
      <c r="BA56" s="6"/>
      <c r="BB56" s="6"/>
      <c r="BC56" s="6"/>
      <c r="BD56" s="38"/>
      <c r="BE56" s="6"/>
      <c r="BF56" s="635"/>
      <c r="BG56" s="6"/>
      <c r="BH56" s="6"/>
      <c r="BI56" s="38"/>
      <c r="BJ56" s="6"/>
      <c r="BK56" s="630"/>
      <c r="BL56" s="6"/>
      <c r="BM56" s="6"/>
      <c r="BN56" s="38"/>
      <c r="BO56" s="6"/>
      <c r="BP56" s="630"/>
      <c r="BQ56" s="6"/>
      <c r="BR56" s="6"/>
      <c r="BS56" s="38"/>
      <c r="BT56" s="6"/>
    </row>
    <row r="57" spans="1:16357" ht="28.5" customHeight="1">
      <c r="U57" s="6"/>
      <c r="V57" s="6"/>
      <c r="W57" s="6"/>
      <c r="X57" s="6"/>
      <c r="Y57" s="38"/>
      <c r="Z57" s="6"/>
      <c r="AA57" s="6"/>
      <c r="AB57" s="6"/>
      <c r="AC57" s="6"/>
      <c r="AD57" s="38"/>
      <c r="AE57" s="6"/>
      <c r="AF57" s="6"/>
      <c r="AG57" s="6"/>
      <c r="AH57" s="6"/>
      <c r="AI57" s="38"/>
      <c r="AJ57" s="6"/>
      <c r="AK57" s="89"/>
      <c r="AL57" s="5"/>
      <c r="AM57" s="6"/>
      <c r="AN57" s="6"/>
      <c r="AO57" s="38"/>
      <c r="AP57" s="6"/>
      <c r="AQ57" s="6"/>
      <c r="AR57" s="6"/>
      <c r="AS57" s="6"/>
      <c r="AT57" s="38"/>
      <c r="AU57" s="6"/>
      <c r="AV57" s="6"/>
      <c r="AW57" s="6"/>
      <c r="AX57" s="6"/>
      <c r="AY57" s="38"/>
      <c r="AZ57" s="6"/>
      <c r="BA57" s="6"/>
      <c r="BB57" s="6"/>
      <c r="BC57" s="6"/>
      <c r="BD57" s="38"/>
      <c r="BE57" s="6"/>
      <c r="BF57" s="635"/>
      <c r="BG57" s="6"/>
      <c r="BH57" s="6"/>
      <c r="BI57" s="38"/>
      <c r="BJ57" s="6"/>
      <c r="BK57" s="630"/>
      <c r="BL57" s="6"/>
      <c r="BM57" s="6"/>
      <c r="BN57" s="38"/>
      <c r="BO57" s="6"/>
      <c r="BP57" s="630"/>
      <c r="BQ57" s="6"/>
      <c r="BR57" s="6"/>
      <c r="BS57" s="38"/>
      <c r="BT57" s="6"/>
    </row>
    <row r="58" spans="1:16357" ht="28.5" customHeight="1">
      <c r="U58" s="6"/>
      <c r="V58" s="6"/>
      <c r="W58" s="6"/>
      <c r="X58" s="6"/>
      <c r="Y58" s="38"/>
      <c r="Z58" s="6"/>
      <c r="AA58" s="6"/>
      <c r="AB58" s="6"/>
      <c r="AC58" s="6"/>
      <c r="AD58" s="38"/>
      <c r="AE58" s="6"/>
      <c r="AF58" s="6"/>
      <c r="AG58" s="6"/>
      <c r="AH58" s="6"/>
      <c r="AI58" s="38"/>
      <c r="AJ58" s="6"/>
      <c r="AK58" s="89"/>
      <c r="AL58" s="5"/>
      <c r="AM58" s="6"/>
      <c r="AN58" s="6"/>
      <c r="AO58" s="38"/>
      <c r="AP58" s="6"/>
      <c r="AQ58" s="6"/>
      <c r="AR58" s="6"/>
      <c r="AS58" s="6"/>
      <c r="AT58" s="38"/>
      <c r="AU58" s="6"/>
      <c r="AV58" s="6"/>
      <c r="AW58" s="6"/>
      <c r="AX58" s="6"/>
      <c r="AY58" s="38"/>
      <c r="AZ58" s="6"/>
      <c r="BA58" s="6"/>
      <c r="BB58" s="6"/>
      <c r="BC58" s="6"/>
      <c r="BD58" s="38"/>
      <c r="BE58" s="6"/>
      <c r="BF58" s="635"/>
      <c r="BG58" s="6"/>
      <c r="BH58" s="6"/>
      <c r="BI58" s="38"/>
      <c r="BJ58" s="6"/>
      <c r="BK58" s="630"/>
      <c r="BL58" s="6"/>
      <c r="BM58" s="6"/>
      <c r="BN58" s="38"/>
      <c r="BO58" s="6"/>
      <c r="BP58" s="630"/>
      <c r="BQ58" s="6"/>
      <c r="BR58" s="6"/>
      <c r="BS58" s="38"/>
      <c r="BT58" s="6"/>
    </row>
    <row r="59" spans="1:16357" ht="28.5" customHeight="1">
      <c r="U59" s="6"/>
      <c r="V59" s="6"/>
      <c r="W59" s="6"/>
      <c r="X59" s="6"/>
      <c r="Y59" s="38"/>
      <c r="Z59" s="6"/>
      <c r="AA59" s="6"/>
      <c r="AB59" s="6"/>
      <c r="AC59" s="6"/>
      <c r="AD59" s="38"/>
      <c r="AE59" s="6"/>
      <c r="AF59" s="6"/>
      <c r="AG59" s="6"/>
      <c r="AH59" s="6"/>
      <c r="AI59" s="38"/>
      <c r="AJ59" s="6"/>
      <c r="AK59" s="89"/>
      <c r="AL59" s="5"/>
      <c r="AM59" s="6"/>
      <c r="AN59" s="6"/>
      <c r="AO59" s="38"/>
      <c r="AP59" s="6"/>
      <c r="AQ59" s="6"/>
      <c r="AR59" s="6"/>
      <c r="AS59" s="6"/>
      <c r="AT59" s="38"/>
      <c r="AU59" s="6"/>
      <c r="AV59" s="6"/>
      <c r="AW59" s="6"/>
      <c r="AX59" s="6"/>
      <c r="AY59" s="38"/>
      <c r="AZ59" s="6"/>
      <c r="BA59" s="6"/>
      <c r="BB59" s="6"/>
      <c r="BC59" s="6"/>
      <c r="BD59" s="38"/>
      <c r="BE59" s="6"/>
      <c r="BF59" s="635"/>
      <c r="BG59" s="6"/>
      <c r="BH59" s="6"/>
      <c r="BI59" s="38"/>
      <c r="BJ59" s="6"/>
      <c r="BK59" s="630"/>
      <c r="BL59" s="6"/>
      <c r="BM59" s="6"/>
      <c r="BN59" s="38"/>
      <c r="BO59" s="6"/>
      <c r="BP59" s="630"/>
      <c r="BQ59" s="6"/>
      <c r="BR59" s="6"/>
      <c r="BS59" s="38"/>
      <c r="BT59" s="6"/>
    </row>
    <row r="60" spans="1:16357" ht="28.5" customHeight="1">
      <c r="U60" s="6"/>
      <c r="V60" s="6"/>
      <c r="W60" s="6"/>
      <c r="X60" s="6"/>
      <c r="Y60" s="38"/>
      <c r="Z60" s="6"/>
      <c r="AA60" s="6"/>
      <c r="AB60" s="6"/>
      <c r="AC60" s="6"/>
      <c r="AD60" s="38"/>
      <c r="AE60" s="6"/>
      <c r="AF60" s="6"/>
      <c r="AG60" s="6"/>
      <c r="AH60" s="6"/>
      <c r="AI60" s="38"/>
      <c r="AJ60" s="6"/>
      <c r="AK60" s="89"/>
      <c r="AL60" s="5"/>
      <c r="AM60" s="6"/>
      <c r="AN60" s="6"/>
      <c r="AO60" s="38"/>
      <c r="AP60" s="6"/>
      <c r="AQ60" s="6"/>
      <c r="AR60" s="6"/>
      <c r="AS60" s="6"/>
      <c r="AT60" s="38"/>
      <c r="AU60" s="6"/>
      <c r="AV60" s="6"/>
      <c r="AW60" s="6"/>
      <c r="AX60" s="6"/>
      <c r="AY60" s="38"/>
      <c r="AZ60" s="6"/>
      <c r="BA60" s="6"/>
      <c r="BB60" s="6"/>
      <c r="BC60" s="6"/>
      <c r="BD60" s="38"/>
      <c r="BE60" s="6"/>
      <c r="BF60" s="635"/>
      <c r="BG60" s="6"/>
      <c r="BH60" s="6"/>
      <c r="BI60" s="38"/>
      <c r="BJ60" s="6"/>
      <c r="BK60" s="630"/>
      <c r="BL60" s="6"/>
      <c r="BM60" s="6"/>
      <c r="BN60" s="38"/>
      <c r="BO60" s="6"/>
      <c r="BP60" s="630"/>
      <c r="BQ60" s="6"/>
      <c r="BR60" s="6"/>
      <c r="BS60" s="38"/>
      <c r="BT60" s="6"/>
    </row>
    <row r="61" spans="1:16357" ht="28.5" customHeight="1">
      <c r="U61" s="6"/>
      <c r="V61" s="6"/>
      <c r="W61" s="6"/>
      <c r="X61" s="6"/>
      <c r="Y61" s="38"/>
      <c r="Z61" s="6"/>
      <c r="AA61" s="6"/>
      <c r="AB61" s="6"/>
      <c r="AC61" s="6"/>
      <c r="AD61" s="38"/>
      <c r="AE61" s="6"/>
      <c r="AF61" s="6"/>
      <c r="AG61" s="6"/>
      <c r="AH61" s="6"/>
      <c r="AI61" s="38"/>
      <c r="AJ61" s="6"/>
      <c r="AK61" s="89"/>
      <c r="AL61" s="5"/>
      <c r="AM61" s="6"/>
      <c r="AN61" s="6"/>
      <c r="AO61" s="38"/>
      <c r="AP61" s="6"/>
      <c r="AQ61" s="6"/>
      <c r="AR61" s="6"/>
      <c r="AS61" s="6"/>
      <c r="AT61" s="38"/>
      <c r="AU61" s="6"/>
      <c r="AV61" s="6"/>
      <c r="AW61" s="6"/>
      <c r="AX61" s="6"/>
      <c r="AY61" s="38"/>
      <c r="AZ61" s="6"/>
      <c r="BA61" s="6"/>
      <c r="BB61" s="6"/>
      <c r="BC61" s="6"/>
      <c r="BD61" s="38"/>
      <c r="BE61" s="6"/>
      <c r="BF61" s="635"/>
      <c r="BG61" s="6"/>
      <c r="BH61" s="6"/>
      <c r="BI61" s="38"/>
      <c r="BJ61" s="6"/>
      <c r="BK61" s="630"/>
      <c r="BL61" s="6"/>
      <c r="BM61" s="6"/>
      <c r="BN61" s="38"/>
      <c r="BO61" s="6"/>
      <c r="BP61" s="630"/>
      <c r="BQ61" s="6"/>
      <c r="BR61" s="6"/>
      <c r="BS61" s="38"/>
      <c r="BT61" s="6"/>
    </row>
    <row r="62" spans="1:16357" ht="28.5" customHeight="1">
      <c r="U62" s="6"/>
      <c r="V62" s="6"/>
      <c r="W62" s="6"/>
      <c r="X62" s="6"/>
      <c r="Y62" s="38"/>
      <c r="Z62" s="6"/>
      <c r="AA62" s="6"/>
      <c r="AB62" s="6"/>
      <c r="AC62" s="6"/>
      <c r="AD62" s="38"/>
      <c r="AE62" s="6"/>
      <c r="AF62" s="6"/>
      <c r="AG62" s="6"/>
      <c r="AH62" s="6"/>
      <c r="AI62" s="38"/>
      <c r="AJ62" s="6"/>
      <c r="AK62" s="89"/>
      <c r="AL62" s="5"/>
      <c r="AM62" s="6"/>
      <c r="AN62" s="6"/>
      <c r="AO62" s="38"/>
      <c r="AP62" s="6"/>
      <c r="AQ62" s="6"/>
      <c r="AR62" s="6"/>
      <c r="AS62" s="6"/>
      <c r="AT62" s="38"/>
      <c r="AU62" s="6"/>
      <c r="AV62" s="6"/>
      <c r="AW62" s="6"/>
      <c r="AX62" s="6"/>
      <c r="AY62" s="38"/>
      <c r="AZ62" s="6"/>
      <c r="BA62" s="6"/>
      <c r="BB62" s="6"/>
      <c r="BC62" s="6"/>
      <c r="BD62" s="38"/>
      <c r="BE62" s="6"/>
      <c r="BF62" s="635"/>
      <c r="BG62" s="6"/>
      <c r="BH62" s="6"/>
      <c r="BI62" s="38"/>
      <c r="BJ62" s="6"/>
      <c r="BK62" s="630"/>
      <c r="BL62" s="6"/>
      <c r="BM62" s="6"/>
      <c r="BN62" s="38"/>
      <c r="BO62" s="6"/>
      <c r="BP62" s="630"/>
      <c r="BQ62" s="6"/>
      <c r="BR62" s="6"/>
      <c r="BS62" s="38"/>
      <c r="BT62" s="6"/>
    </row>
    <row r="63" spans="1:16357" ht="28.5" customHeight="1">
      <c r="U63" s="6"/>
      <c r="V63" s="6"/>
      <c r="W63" s="6"/>
      <c r="X63" s="6"/>
      <c r="Y63" s="38"/>
      <c r="Z63" s="6"/>
      <c r="AA63" s="6"/>
      <c r="AB63" s="6"/>
      <c r="AC63" s="6"/>
      <c r="AD63" s="38"/>
      <c r="AE63" s="6"/>
      <c r="AF63" s="6"/>
      <c r="AG63" s="6"/>
      <c r="AH63" s="6"/>
      <c r="AI63" s="38"/>
      <c r="AJ63" s="6"/>
      <c r="AK63" s="89"/>
      <c r="AL63" s="5"/>
      <c r="AM63" s="6"/>
      <c r="AN63" s="6"/>
      <c r="AO63" s="38"/>
      <c r="AP63" s="6"/>
      <c r="AQ63" s="6"/>
      <c r="AR63" s="6"/>
      <c r="AS63" s="6"/>
      <c r="AT63" s="38"/>
      <c r="AU63" s="6"/>
      <c r="AV63" s="6"/>
      <c r="AW63" s="6"/>
      <c r="AX63" s="6"/>
      <c r="AY63" s="38"/>
      <c r="AZ63" s="6"/>
      <c r="BA63" s="6"/>
      <c r="BB63" s="6"/>
      <c r="BC63" s="6"/>
      <c r="BD63" s="38"/>
      <c r="BE63" s="6"/>
      <c r="BF63" s="635"/>
      <c r="BG63" s="6"/>
      <c r="BH63" s="6"/>
      <c r="BI63" s="38"/>
      <c r="BJ63" s="6"/>
      <c r="BK63" s="630"/>
      <c r="BL63" s="6"/>
      <c r="BM63" s="6"/>
      <c r="BN63" s="38"/>
      <c r="BO63" s="6"/>
      <c r="BP63" s="630"/>
      <c r="BQ63" s="6"/>
      <c r="BR63" s="6"/>
      <c r="BS63" s="38"/>
      <c r="BT63" s="6"/>
    </row>
    <row r="64" spans="1:16357" ht="28.5" customHeight="1">
      <c r="AL64" s="5"/>
    </row>
    <row r="65" spans="1:16357" ht="28.5" customHeight="1">
      <c r="AL65" s="5"/>
    </row>
    <row r="66" spans="1:16357" s="4" customFormat="1" ht="28.5" customHeight="1">
      <c r="A66" s="5"/>
      <c r="B66" s="5"/>
      <c r="I66" s="58"/>
      <c r="Y66" s="39"/>
      <c r="AD66" s="39"/>
      <c r="AI66" s="39"/>
      <c r="AK66" s="91"/>
      <c r="AL66" s="5"/>
      <c r="AO66" s="39"/>
      <c r="AT66" s="39"/>
      <c r="AY66" s="39"/>
      <c r="BD66" s="39"/>
      <c r="BF66" s="637"/>
      <c r="BI66" s="39"/>
      <c r="BK66" s="631"/>
      <c r="BN66" s="39"/>
      <c r="BP66" s="631"/>
      <c r="BS66" s="39"/>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c r="DK66" s="5"/>
      <c r="DL66" s="5"/>
      <c r="DM66" s="5"/>
      <c r="DN66" s="5"/>
      <c r="DO66" s="5"/>
      <c r="DP66" s="5"/>
      <c r="DQ66" s="5"/>
      <c r="DR66" s="5"/>
      <c r="DS66" s="5"/>
      <c r="DT66" s="5"/>
      <c r="DU66" s="5"/>
      <c r="DV66" s="5"/>
      <c r="DW66" s="5"/>
      <c r="DX66" s="5"/>
      <c r="DY66" s="5"/>
      <c r="DZ66" s="5"/>
      <c r="EA66" s="5"/>
      <c r="EB66" s="5"/>
      <c r="EC66" s="5"/>
      <c r="ED66" s="5"/>
      <c r="EE66" s="5"/>
      <c r="EF66" s="5"/>
      <c r="EG66" s="5"/>
      <c r="EH66" s="5"/>
      <c r="EI66" s="5"/>
      <c r="EJ66" s="5"/>
      <c r="EK66" s="5"/>
      <c r="EL66" s="5"/>
      <c r="EM66" s="5"/>
      <c r="EN66" s="5"/>
      <c r="EO66" s="5"/>
      <c r="EP66" s="5"/>
      <c r="EQ66" s="5"/>
      <c r="ER66" s="5"/>
      <c r="ES66" s="5"/>
      <c r="ET66" s="5"/>
      <c r="EU66" s="5"/>
      <c r="EV66" s="5"/>
      <c r="EW66" s="5"/>
      <c r="EX66" s="5"/>
      <c r="EY66" s="5"/>
      <c r="EZ66" s="5"/>
      <c r="FA66" s="5"/>
      <c r="FB66" s="5"/>
      <c r="FC66" s="5"/>
      <c r="FD66" s="5"/>
      <c r="FE66" s="5"/>
      <c r="FF66" s="5"/>
      <c r="FG66" s="5"/>
      <c r="FH66" s="5"/>
      <c r="FI66" s="5"/>
      <c r="FJ66" s="5"/>
      <c r="FK66" s="5"/>
      <c r="FL66" s="5"/>
      <c r="FM66" s="5"/>
      <c r="FN66" s="5"/>
      <c r="FO66" s="5"/>
      <c r="FP66" s="5"/>
      <c r="FQ66" s="5"/>
      <c r="FR66" s="5"/>
      <c r="FS66" s="5"/>
      <c r="FT66" s="5"/>
      <c r="FU66" s="5"/>
      <c r="FV66" s="5"/>
      <c r="FW66" s="5"/>
      <c r="FX66" s="5"/>
      <c r="FY66" s="5"/>
      <c r="FZ66" s="5"/>
      <c r="GA66" s="5"/>
      <c r="GB66" s="5"/>
      <c r="GC66" s="5"/>
      <c r="GD66" s="5"/>
      <c r="GE66" s="5"/>
      <c r="GF66" s="5"/>
      <c r="GG66" s="5"/>
      <c r="GH66" s="5"/>
      <c r="GI66" s="5"/>
      <c r="GJ66" s="5"/>
      <c r="GK66" s="5"/>
      <c r="GL66" s="5"/>
      <c r="GM66" s="5"/>
      <c r="GN66" s="5"/>
      <c r="GO66" s="5"/>
      <c r="GP66" s="5"/>
      <c r="GQ66" s="5"/>
      <c r="GR66" s="5"/>
      <c r="GS66" s="5"/>
      <c r="GT66" s="5"/>
      <c r="GU66" s="5"/>
      <c r="GV66" s="5"/>
      <c r="GW66" s="5"/>
      <c r="GX66" s="5"/>
      <c r="GY66" s="5"/>
      <c r="GZ66" s="5"/>
      <c r="HA66" s="5"/>
      <c r="HB66" s="5"/>
      <c r="HC66" s="5"/>
      <c r="HD66" s="5"/>
      <c r="HE66" s="5"/>
      <c r="HF66" s="5"/>
      <c r="HG66" s="5"/>
      <c r="HH66" s="5"/>
      <c r="HI66" s="5"/>
      <c r="HJ66" s="5"/>
      <c r="HK66" s="5"/>
      <c r="HL66" s="5"/>
      <c r="HM66" s="5"/>
      <c r="HN66" s="5"/>
      <c r="HO66" s="5"/>
      <c r="HP66" s="5"/>
      <c r="HQ66" s="5"/>
      <c r="HR66" s="5"/>
      <c r="HS66" s="5"/>
      <c r="HT66" s="5"/>
      <c r="HU66" s="5"/>
      <c r="HV66" s="5"/>
      <c r="HW66" s="5"/>
      <c r="HX66" s="5"/>
      <c r="HY66" s="5"/>
      <c r="HZ66" s="5"/>
      <c r="IA66" s="5"/>
      <c r="IB66" s="5"/>
      <c r="IC66" s="5"/>
      <c r="ID66" s="5"/>
      <c r="IE66" s="5"/>
      <c r="IF66" s="5"/>
      <c r="IG66" s="5"/>
      <c r="IH66" s="5"/>
      <c r="II66" s="5"/>
      <c r="IJ66" s="5"/>
      <c r="IK66" s="5"/>
      <c r="IL66" s="5"/>
      <c r="IM66" s="5"/>
      <c r="IN66" s="5"/>
      <c r="IO66" s="5"/>
      <c r="IP66" s="5"/>
      <c r="IQ66" s="5"/>
      <c r="IR66" s="5"/>
      <c r="IS66" s="5"/>
      <c r="IT66" s="5"/>
      <c r="IU66" s="5"/>
      <c r="IV66" s="5"/>
      <c r="IW66" s="5"/>
      <c r="IX66" s="5"/>
      <c r="IY66" s="5"/>
      <c r="IZ66" s="5"/>
      <c r="JA66" s="5"/>
      <c r="JB66" s="5"/>
      <c r="JC66" s="5"/>
      <c r="JD66" s="5"/>
      <c r="JE66" s="5"/>
      <c r="JF66" s="5"/>
      <c r="JG66" s="5"/>
      <c r="JH66" s="5"/>
      <c r="JI66" s="5"/>
      <c r="JJ66" s="5"/>
      <c r="JK66" s="5"/>
      <c r="JL66" s="5"/>
      <c r="JM66" s="5"/>
      <c r="JN66" s="5"/>
      <c r="JO66" s="5"/>
      <c r="JP66" s="5"/>
      <c r="JQ66" s="5"/>
      <c r="JR66" s="5"/>
      <c r="JS66" s="5"/>
      <c r="JT66" s="5"/>
      <c r="JU66" s="5"/>
      <c r="JV66" s="5"/>
      <c r="JW66" s="5"/>
      <c r="JX66" s="5"/>
      <c r="JY66" s="5"/>
      <c r="JZ66" s="5"/>
      <c r="KA66" s="5"/>
      <c r="KB66" s="5"/>
      <c r="KC66" s="5"/>
      <c r="KD66" s="5"/>
      <c r="KE66" s="5"/>
      <c r="KF66" s="5"/>
      <c r="KG66" s="5"/>
      <c r="KH66" s="5"/>
      <c r="KI66" s="5"/>
      <c r="KJ66" s="5"/>
      <c r="KK66" s="5"/>
      <c r="KL66" s="5"/>
      <c r="KM66" s="5"/>
      <c r="KN66" s="5"/>
      <c r="KO66" s="5"/>
      <c r="KP66" s="5"/>
      <c r="KQ66" s="5"/>
      <c r="KR66" s="5"/>
      <c r="KS66" s="5"/>
      <c r="KT66" s="5"/>
      <c r="KU66" s="5"/>
      <c r="KV66" s="5"/>
      <c r="KW66" s="5"/>
      <c r="KX66" s="5"/>
      <c r="KY66" s="5"/>
      <c r="KZ66" s="5"/>
      <c r="LA66" s="5"/>
      <c r="LB66" s="5"/>
      <c r="LC66" s="5"/>
      <c r="LD66" s="5"/>
      <c r="LE66" s="5"/>
      <c r="LF66" s="5"/>
      <c r="LG66" s="5"/>
      <c r="LH66" s="5"/>
      <c r="LI66" s="5"/>
      <c r="LJ66" s="5"/>
      <c r="LK66" s="5"/>
      <c r="LL66" s="5"/>
      <c r="LM66" s="5"/>
      <c r="LN66" s="5"/>
      <c r="LO66" s="5"/>
      <c r="LP66" s="5"/>
      <c r="LQ66" s="5"/>
      <c r="LR66" s="5"/>
      <c r="LS66" s="5"/>
      <c r="LT66" s="5"/>
      <c r="LU66" s="5"/>
      <c r="LV66" s="5"/>
      <c r="LW66" s="5"/>
      <c r="LX66" s="5"/>
      <c r="LY66" s="5"/>
      <c r="LZ66" s="5"/>
      <c r="MA66" s="5"/>
      <c r="MB66" s="5"/>
      <c r="MC66" s="5"/>
      <c r="MD66" s="5"/>
      <c r="ME66" s="5"/>
      <c r="MF66" s="5"/>
      <c r="MG66" s="5"/>
      <c r="MH66" s="5"/>
      <c r="MI66" s="5"/>
      <c r="MJ66" s="5"/>
      <c r="MK66" s="5"/>
      <c r="ML66" s="5"/>
      <c r="MM66" s="5"/>
      <c r="MN66" s="5"/>
      <c r="MO66" s="5"/>
      <c r="MP66" s="5"/>
      <c r="MQ66" s="5"/>
      <c r="MR66" s="5"/>
      <c r="MS66" s="5"/>
      <c r="MT66" s="5"/>
      <c r="MU66" s="5"/>
      <c r="MV66" s="5"/>
      <c r="MW66" s="5"/>
      <c r="MX66" s="5"/>
      <c r="MY66" s="5"/>
      <c r="MZ66" s="5"/>
      <c r="NA66" s="5"/>
      <c r="NB66" s="5"/>
      <c r="NC66" s="5"/>
      <c r="ND66" s="5"/>
      <c r="NE66" s="5"/>
      <c r="NF66" s="5"/>
      <c r="NG66" s="5"/>
      <c r="NH66" s="5"/>
      <c r="NI66" s="5"/>
      <c r="NJ66" s="5"/>
      <c r="NK66" s="5"/>
      <c r="NL66" s="5"/>
      <c r="NM66" s="5"/>
      <c r="NN66" s="5"/>
      <c r="NO66" s="5"/>
      <c r="NP66" s="5"/>
      <c r="NQ66" s="5"/>
      <c r="NR66" s="5"/>
      <c r="NS66" s="5"/>
      <c r="NT66" s="5"/>
      <c r="NU66" s="5"/>
      <c r="NV66" s="5"/>
      <c r="NW66" s="5"/>
      <c r="NX66" s="5"/>
      <c r="NY66" s="5"/>
      <c r="NZ66" s="5"/>
      <c r="OA66" s="5"/>
      <c r="OB66" s="5"/>
      <c r="OC66" s="5"/>
      <c r="OD66" s="5"/>
      <c r="OE66" s="5"/>
      <c r="OF66" s="5"/>
      <c r="OG66" s="5"/>
      <c r="OH66" s="5"/>
      <c r="OI66" s="5"/>
      <c r="OJ66" s="5"/>
      <c r="OK66" s="5"/>
      <c r="OL66" s="5"/>
      <c r="OM66" s="5"/>
      <c r="ON66" s="5"/>
      <c r="OO66" s="5"/>
      <c r="OP66" s="5"/>
      <c r="OQ66" s="5"/>
      <c r="OR66" s="5"/>
      <c r="OS66" s="5"/>
      <c r="OT66" s="5"/>
      <c r="OU66" s="5"/>
      <c r="OV66" s="5"/>
      <c r="OW66" s="5"/>
      <c r="OX66" s="5"/>
      <c r="OY66" s="5"/>
      <c r="OZ66" s="5"/>
      <c r="PA66" s="5"/>
      <c r="PB66" s="5"/>
      <c r="PC66" s="5"/>
      <c r="PD66" s="5"/>
      <c r="PE66" s="5"/>
      <c r="PF66" s="5"/>
      <c r="PG66" s="5"/>
      <c r="PH66" s="5"/>
      <c r="PI66" s="5"/>
      <c r="PJ66" s="5"/>
      <c r="PK66" s="5"/>
      <c r="PL66" s="5"/>
      <c r="PM66" s="5"/>
      <c r="PN66" s="5"/>
      <c r="PO66" s="5"/>
      <c r="PP66" s="5"/>
      <c r="PQ66" s="5"/>
      <c r="PR66" s="5"/>
      <c r="PS66" s="5"/>
      <c r="PT66" s="5"/>
      <c r="PU66" s="5"/>
      <c r="PV66" s="5"/>
      <c r="PW66" s="5"/>
      <c r="PX66" s="5"/>
      <c r="PY66" s="5"/>
      <c r="PZ66" s="5"/>
      <c r="QA66" s="5"/>
      <c r="QB66" s="5"/>
      <c r="QC66" s="5"/>
      <c r="QD66" s="5"/>
      <c r="QE66" s="5"/>
      <c r="QF66" s="5"/>
      <c r="QG66" s="5"/>
      <c r="QH66" s="5"/>
      <c r="QI66" s="5"/>
      <c r="QJ66" s="5"/>
      <c r="QK66" s="5"/>
      <c r="QL66" s="5"/>
      <c r="QM66" s="5"/>
      <c r="QN66" s="5"/>
      <c r="QO66" s="5"/>
      <c r="QP66" s="5"/>
      <c r="QQ66" s="5"/>
      <c r="QR66" s="5"/>
      <c r="QS66" s="5"/>
      <c r="QT66" s="5"/>
      <c r="QU66" s="5"/>
      <c r="QV66" s="5"/>
      <c r="QW66" s="5"/>
      <c r="QX66" s="5"/>
      <c r="QY66" s="5"/>
      <c r="QZ66" s="5"/>
      <c r="RA66" s="5"/>
      <c r="RB66" s="5"/>
      <c r="RC66" s="5"/>
      <c r="RD66" s="5"/>
      <c r="RE66" s="5"/>
      <c r="RF66" s="5"/>
      <c r="RG66" s="5"/>
      <c r="RH66" s="5"/>
      <c r="RI66" s="5"/>
      <c r="RJ66" s="5"/>
      <c r="RK66" s="5"/>
      <c r="RL66" s="5"/>
      <c r="RM66" s="5"/>
      <c r="RN66" s="5"/>
      <c r="RO66" s="5"/>
      <c r="RP66" s="5"/>
      <c r="RQ66" s="5"/>
      <c r="RR66" s="5"/>
      <c r="RS66" s="5"/>
      <c r="RT66" s="5"/>
      <c r="RU66" s="5"/>
      <c r="RV66" s="5"/>
      <c r="RW66" s="5"/>
      <c r="RX66" s="5"/>
      <c r="RY66" s="5"/>
      <c r="RZ66" s="5"/>
      <c r="SA66" s="5"/>
      <c r="SB66" s="5"/>
      <c r="SC66" s="5"/>
      <c r="SD66" s="5"/>
      <c r="SE66" s="5"/>
      <c r="SF66" s="5"/>
      <c r="SG66" s="5"/>
      <c r="SH66" s="5"/>
      <c r="SI66" s="5"/>
      <c r="SJ66" s="5"/>
      <c r="SK66" s="5"/>
      <c r="SL66" s="5"/>
      <c r="SM66" s="5"/>
      <c r="SN66" s="5"/>
      <c r="SO66" s="5"/>
      <c r="SP66" s="5"/>
      <c r="SQ66" s="5"/>
      <c r="SR66" s="5"/>
      <c r="SS66" s="5"/>
      <c r="ST66" s="5"/>
      <c r="SU66" s="5"/>
      <c r="SV66" s="5"/>
      <c r="SW66" s="5"/>
      <c r="SX66" s="5"/>
      <c r="SY66" s="5"/>
      <c r="SZ66" s="5"/>
      <c r="TA66" s="5"/>
      <c r="TB66" s="5"/>
      <c r="TC66" s="5"/>
      <c r="TD66" s="5"/>
      <c r="TE66" s="5"/>
      <c r="TF66" s="5"/>
      <c r="TG66" s="5"/>
      <c r="TH66" s="5"/>
      <c r="TI66" s="5"/>
      <c r="TJ66" s="5"/>
      <c r="TK66" s="5"/>
      <c r="TL66" s="5"/>
      <c r="TM66" s="5"/>
      <c r="TN66" s="5"/>
      <c r="TO66" s="5"/>
      <c r="TP66" s="5"/>
      <c r="TQ66" s="5"/>
      <c r="TR66" s="5"/>
      <c r="TS66" s="5"/>
      <c r="TT66" s="5"/>
      <c r="TU66" s="5"/>
      <c r="TV66" s="5"/>
      <c r="TW66" s="5"/>
      <c r="TX66" s="5"/>
      <c r="TY66" s="5"/>
      <c r="TZ66" s="5"/>
      <c r="UA66" s="5"/>
      <c r="UB66" s="5"/>
      <c r="UC66" s="5"/>
      <c r="UD66" s="5"/>
      <c r="UE66" s="5"/>
      <c r="UF66" s="5"/>
      <c r="UG66" s="5"/>
      <c r="UH66" s="5"/>
      <c r="UI66" s="5"/>
      <c r="UJ66" s="5"/>
      <c r="UK66" s="5"/>
      <c r="UL66" s="5"/>
      <c r="UM66" s="5"/>
      <c r="UN66" s="5"/>
      <c r="UO66" s="5"/>
      <c r="UP66" s="5"/>
      <c r="UQ66" s="5"/>
      <c r="UR66" s="5"/>
      <c r="US66" s="5"/>
      <c r="UT66" s="5"/>
      <c r="UU66" s="5"/>
      <c r="UV66" s="5"/>
      <c r="UW66" s="5"/>
      <c r="UX66" s="5"/>
      <c r="UY66" s="5"/>
      <c r="UZ66" s="5"/>
      <c r="VA66" s="5"/>
      <c r="VB66" s="5"/>
      <c r="VC66" s="5"/>
      <c r="VD66" s="5"/>
      <c r="VE66" s="5"/>
      <c r="VF66" s="5"/>
      <c r="VG66" s="5"/>
      <c r="VH66" s="5"/>
      <c r="VI66" s="5"/>
      <c r="VJ66" s="5"/>
      <c r="VK66" s="5"/>
      <c r="VL66" s="5"/>
      <c r="VM66" s="5"/>
      <c r="VN66" s="5"/>
      <c r="VO66" s="5"/>
      <c r="VP66" s="5"/>
      <c r="VQ66" s="5"/>
      <c r="VR66" s="5"/>
      <c r="VS66" s="5"/>
      <c r="VT66" s="5"/>
      <c r="VU66" s="5"/>
      <c r="VV66" s="5"/>
      <c r="VW66" s="5"/>
      <c r="VX66" s="5"/>
      <c r="VY66" s="5"/>
      <c r="VZ66" s="5"/>
      <c r="WA66" s="5"/>
      <c r="WB66" s="5"/>
      <c r="WC66" s="5"/>
      <c r="WD66" s="5"/>
      <c r="WE66" s="5"/>
      <c r="WF66" s="5"/>
      <c r="WG66" s="5"/>
      <c r="WH66" s="5"/>
      <c r="WI66" s="5"/>
      <c r="WJ66" s="5"/>
      <c r="WK66" s="5"/>
      <c r="WL66" s="5"/>
      <c r="WM66" s="5"/>
      <c r="WN66" s="5"/>
      <c r="WO66" s="5"/>
      <c r="WP66" s="5"/>
      <c r="WQ66" s="5"/>
      <c r="WR66" s="5"/>
      <c r="WS66" s="5"/>
      <c r="WT66" s="5"/>
      <c r="WU66" s="5"/>
      <c r="WV66" s="5"/>
      <c r="WW66" s="5"/>
      <c r="WX66" s="5"/>
      <c r="WY66" s="5"/>
      <c r="WZ66" s="5"/>
      <c r="XA66" s="5"/>
      <c r="XB66" s="5"/>
      <c r="XC66" s="5"/>
      <c r="XD66" s="5"/>
      <c r="XE66" s="5"/>
      <c r="XF66" s="5"/>
      <c r="XG66" s="5"/>
      <c r="XH66" s="5"/>
      <c r="XI66" s="5"/>
      <c r="XJ66" s="5"/>
      <c r="XK66" s="5"/>
      <c r="XL66" s="5"/>
      <c r="XM66" s="5"/>
      <c r="XN66" s="5"/>
      <c r="XO66" s="5"/>
      <c r="XP66" s="5"/>
      <c r="XQ66" s="5"/>
      <c r="XR66" s="5"/>
      <c r="XS66" s="5"/>
      <c r="XT66" s="5"/>
      <c r="XU66" s="5"/>
      <c r="XV66" s="5"/>
      <c r="XW66" s="5"/>
      <c r="XX66" s="5"/>
      <c r="XY66" s="5"/>
      <c r="XZ66" s="5"/>
      <c r="YA66" s="5"/>
      <c r="YB66" s="5"/>
      <c r="YC66" s="5"/>
      <c r="YD66" s="5"/>
      <c r="YE66" s="5"/>
      <c r="YF66" s="5"/>
      <c r="YG66" s="5"/>
      <c r="YH66" s="5"/>
      <c r="YI66" s="5"/>
      <c r="YJ66" s="5"/>
      <c r="YK66" s="5"/>
      <c r="YL66" s="5"/>
      <c r="YM66" s="5"/>
      <c r="YN66" s="5"/>
      <c r="YO66" s="5"/>
      <c r="YP66" s="5"/>
      <c r="YQ66" s="5"/>
      <c r="YR66" s="5"/>
      <c r="YS66" s="5"/>
      <c r="YT66" s="5"/>
      <c r="YU66" s="5"/>
      <c r="YV66" s="5"/>
      <c r="YW66" s="5"/>
      <c r="YX66" s="5"/>
      <c r="YY66" s="5"/>
      <c r="YZ66" s="5"/>
      <c r="ZA66" s="5"/>
      <c r="ZB66" s="5"/>
      <c r="ZC66" s="5"/>
      <c r="ZD66" s="5"/>
      <c r="ZE66" s="5"/>
      <c r="ZF66" s="5"/>
      <c r="ZG66" s="5"/>
      <c r="ZH66" s="5"/>
      <c r="ZI66" s="5"/>
      <c r="ZJ66" s="5"/>
      <c r="ZK66" s="5"/>
      <c r="ZL66" s="5"/>
      <c r="ZM66" s="5"/>
      <c r="ZN66" s="5"/>
      <c r="ZO66" s="5"/>
      <c r="ZP66" s="5"/>
      <c r="ZQ66" s="5"/>
      <c r="ZR66" s="5"/>
      <c r="ZS66" s="5"/>
      <c r="ZT66" s="5"/>
      <c r="ZU66" s="5"/>
      <c r="ZV66" s="5"/>
      <c r="ZW66" s="5"/>
      <c r="ZX66" s="5"/>
      <c r="ZY66" s="5"/>
      <c r="ZZ66" s="5"/>
      <c r="AAA66" s="5"/>
      <c r="AAB66" s="5"/>
      <c r="AAC66" s="5"/>
      <c r="AAD66" s="5"/>
      <c r="AAE66" s="5"/>
      <c r="AAF66" s="5"/>
      <c r="AAG66" s="5"/>
      <c r="AAH66" s="5"/>
      <c r="AAI66" s="5"/>
      <c r="AAJ66" s="5"/>
      <c r="AAK66" s="5"/>
      <c r="AAL66" s="5"/>
      <c r="AAM66" s="5"/>
      <c r="AAN66" s="5"/>
      <c r="AAO66" s="5"/>
      <c r="AAP66" s="5"/>
      <c r="AAQ66" s="5"/>
      <c r="AAR66" s="5"/>
      <c r="AAS66" s="5"/>
      <c r="AAT66" s="5"/>
      <c r="AAU66" s="5"/>
      <c r="AAV66" s="5"/>
      <c r="AAW66" s="5"/>
      <c r="AAX66" s="5"/>
      <c r="AAY66" s="5"/>
      <c r="AAZ66" s="5"/>
      <c r="ABA66" s="5"/>
      <c r="ABB66" s="5"/>
      <c r="ABC66" s="5"/>
      <c r="ABD66" s="5"/>
      <c r="ABE66" s="5"/>
      <c r="ABF66" s="5"/>
      <c r="ABG66" s="5"/>
      <c r="ABH66" s="5"/>
      <c r="ABI66" s="5"/>
      <c r="ABJ66" s="5"/>
      <c r="ABK66" s="5"/>
      <c r="ABL66" s="5"/>
      <c r="ABM66" s="5"/>
      <c r="ABN66" s="5"/>
      <c r="ABO66" s="5"/>
      <c r="ABP66" s="5"/>
      <c r="ABQ66" s="5"/>
      <c r="ABR66" s="5"/>
      <c r="ABS66" s="5"/>
      <c r="ABT66" s="5"/>
      <c r="ABU66" s="5"/>
      <c r="ABV66" s="5"/>
      <c r="ABW66" s="5"/>
      <c r="ABX66" s="5"/>
      <c r="ABY66" s="5"/>
      <c r="ABZ66" s="5"/>
      <c r="ACA66" s="5"/>
      <c r="ACB66" s="5"/>
      <c r="ACC66" s="5"/>
      <c r="ACD66" s="5"/>
      <c r="ACE66" s="5"/>
      <c r="ACF66" s="5"/>
      <c r="ACG66" s="5"/>
      <c r="ACH66" s="5"/>
      <c r="ACI66" s="5"/>
      <c r="ACJ66" s="5"/>
      <c r="ACK66" s="5"/>
      <c r="ACL66" s="5"/>
      <c r="ACM66" s="5"/>
      <c r="ACN66" s="5"/>
      <c r="ACO66" s="5"/>
      <c r="ACP66" s="5"/>
      <c r="ACQ66" s="5"/>
      <c r="ACR66" s="5"/>
      <c r="ACS66" s="5"/>
      <c r="ACT66" s="5"/>
      <c r="ACU66" s="5"/>
      <c r="ACV66" s="5"/>
      <c r="ACW66" s="5"/>
      <c r="ACX66" s="5"/>
      <c r="ACY66" s="5"/>
      <c r="ACZ66" s="5"/>
      <c r="ADA66" s="5"/>
      <c r="ADB66" s="5"/>
      <c r="ADC66" s="5"/>
      <c r="ADD66" s="5"/>
      <c r="ADE66" s="5"/>
      <c r="ADF66" s="5"/>
      <c r="ADG66" s="5"/>
      <c r="ADH66" s="5"/>
      <c r="ADI66" s="5"/>
      <c r="ADJ66" s="5"/>
      <c r="ADK66" s="5"/>
      <c r="ADL66" s="5"/>
      <c r="ADM66" s="5"/>
      <c r="ADN66" s="5"/>
      <c r="ADO66" s="5"/>
      <c r="ADP66" s="5"/>
      <c r="ADQ66" s="5"/>
      <c r="ADR66" s="5"/>
      <c r="ADS66" s="5"/>
      <c r="ADT66" s="5"/>
      <c r="ADU66" s="5"/>
      <c r="ADV66" s="5"/>
      <c r="ADW66" s="5"/>
      <c r="ADX66" s="5"/>
      <c r="ADY66" s="5"/>
      <c r="ADZ66" s="5"/>
      <c r="AEA66" s="5"/>
      <c r="AEB66" s="5"/>
      <c r="AEC66" s="5"/>
      <c r="AED66" s="5"/>
      <c r="AEE66" s="5"/>
      <c r="AEF66" s="5"/>
      <c r="AEG66" s="5"/>
      <c r="AEH66" s="5"/>
      <c r="AEI66" s="5"/>
      <c r="AEJ66" s="5"/>
      <c r="AEK66" s="5"/>
      <c r="AEL66" s="5"/>
      <c r="AEM66" s="5"/>
      <c r="AEN66" s="5"/>
      <c r="AEO66" s="5"/>
      <c r="AEP66" s="5"/>
      <c r="AEQ66" s="5"/>
      <c r="AER66" s="5"/>
      <c r="AES66" s="5"/>
      <c r="AET66" s="5"/>
      <c r="AEU66" s="5"/>
      <c r="AEV66" s="5"/>
      <c r="AEW66" s="5"/>
      <c r="AEX66" s="5"/>
      <c r="AEY66" s="5"/>
      <c r="AEZ66" s="5"/>
      <c r="AFA66" s="5"/>
      <c r="AFB66" s="5"/>
      <c r="AFC66" s="5"/>
      <c r="AFD66" s="5"/>
      <c r="AFE66" s="5"/>
      <c r="AFF66" s="5"/>
      <c r="AFG66" s="5"/>
      <c r="AFH66" s="5"/>
      <c r="AFI66" s="5"/>
      <c r="AFJ66" s="5"/>
      <c r="AFK66" s="5"/>
      <c r="AFL66" s="5"/>
      <c r="AFM66" s="5"/>
      <c r="AFN66" s="5"/>
      <c r="AFO66" s="5"/>
      <c r="AFP66" s="5"/>
      <c r="AFQ66" s="5"/>
      <c r="AFR66" s="5"/>
      <c r="AFS66" s="5"/>
      <c r="AFT66" s="5"/>
      <c r="AFU66" s="5"/>
      <c r="AFV66" s="5"/>
      <c r="AFW66" s="5"/>
      <c r="AFX66" s="5"/>
      <c r="AFY66" s="5"/>
      <c r="AFZ66" s="5"/>
      <c r="AGA66" s="5"/>
      <c r="AGB66" s="5"/>
      <c r="AGC66" s="5"/>
      <c r="AGD66" s="5"/>
      <c r="AGE66" s="5"/>
      <c r="AGF66" s="5"/>
      <c r="AGG66" s="5"/>
      <c r="AGH66" s="5"/>
      <c r="AGI66" s="5"/>
      <c r="AGJ66" s="5"/>
      <c r="AGK66" s="5"/>
      <c r="AGL66" s="5"/>
      <c r="AGM66" s="5"/>
      <c r="AGN66" s="5"/>
      <c r="AGO66" s="5"/>
      <c r="AGP66" s="5"/>
      <c r="AGQ66" s="5"/>
      <c r="AGR66" s="5"/>
      <c r="AGS66" s="5"/>
      <c r="AGT66" s="5"/>
      <c r="AGU66" s="5"/>
      <c r="AGV66" s="5"/>
      <c r="AGW66" s="5"/>
      <c r="AGX66" s="5"/>
      <c r="AGY66" s="5"/>
      <c r="AGZ66" s="5"/>
      <c r="AHA66" s="5"/>
      <c r="AHB66" s="5"/>
      <c r="AHC66" s="5"/>
      <c r="AHD66" s="5"/>
      <c r="AHE66" s="5"/>
      <c r="AHF66" s="5"/>
      <c r="AHG66" s="5"/>
      <c r="AHH66" s="5"/>
      <c r="AHI66" s="5"/>
      <c r="AHJ66" s="5"/>
      <c r="AHK66" s="5"/>
      <c r="AHL66" s="5"/>
      <c r="AHM66" s="5"/>
      <c r="AHN66" s="5"/>
      <c r="AHO66" s="5"/>
      <c r="AHP66" s="5"/>
      <c r="AHQ66" s="5"/>
      <c r="AHR66" s="5"/>
      <c r="AHS66" s="5"/>
      <c r="AHT66" s="5"/>
      <c r="AHU66" s="5"/>
      <c r="AHV66" s="5"/>
      <c r="AHW66" s="5"/>
      <c r="AHX66" s="5"/>
      <c r="AHY66" s="5"/>
      <c r="AHZ66" s="5"/>
      <c r="AIA66" s="5"/>
      <c r="AIB66" s="5"/>
      <c r="AIC66" s="5"/>
      <c r="AID66" s="5"/>
      <c r="AIE66" s="5"/>
      <c r="AIF66" s="5"/>
      <c r="AIG66" s="5"/>
      <c r="AIH66" s="5"/>
      <c r="AII66" s="5"/>
      <c r="AIJ66" s="5"/>
      <c r="AIK66" s="5"/>
      <c r="AIL66" s="5"/>
      <c r="AIM66" s="5"/>
      <c r="AIN66" s="5"/>
      <c r="AIO66" s="5"/>
      <c r="AIP66" s="5"/>
      <c r="AIQ66" s="5"/>
      <c r="AIR66" s="5"/>
      <c r="AIS66" s="5"/>
      <c r="AIT66" s="5"/>
      <c r="AIU66" s="5"/>
      <c r="AIV66" s="5"/>
      <c r="AIW66" s="5"/>
      <c r="AIX66" s="5"/>
      <c r="AIY66" s="5"/>
      <c r="AIZ66" s="5"/>
      <c r="AJA66" s="5"/>
      <c r="AJB66" s="5"/>
      <c r="AJC66" s="5"/>
      <c r="AJD66" s="5"/>
      <c r="AJE66" s="5"/>
      <c r="AJF66" s="5"/>
      <c r="AJG66" s="5"/>
      <c r="AJH66" s="5"/>
      <c r="AJI66" s="5"/>
      <c r="AJJ66" s="5"/>
      <c r="AJK66" s="5"/>
      <c r="AJL66" s="5"/>
      <c r="AJM66" s="5"/>
      <c r="AJN66" s="5"/>
      <c r="AJO66" s="5"/>
      <c r="AJP66" s="5"/>
      <c r="AJQ66" s="5"/>
      <c r="AJR66" s="5"/>
      <c r="AJS66" s="5"/>
      <c r="AJT66" s="5"/>
      <c r="AJU66" s="5"/>
      <c r="AJV66" s="5"/>
      <c r="AJW66" s="5"/>
      <c r="AJX66" s="5"/>
      <c r="AJY66" s="5"/>
      <c r="AJZ66" s="5"/>
      <c r="AKA66" s="5"/>
      <c r="AKB66" s="5"/>
      <c r="AKC66" s="5"/>
      <c r="AKD66" s="5"/>
      <c r="AKE66" s="5"/>
      <c r="AKF66" s="5"/>
      <c r="AKG66" s="5"/>
      <c r="AKH66" s="5"/>
      <c r="AKI66" s="5"/>
      <c r="AKJ66" s="5"/>
      <c r="AKK66" s="5"/>
      <c r="AKL66" s="5"/>
      <c r="AKM66" s="5"/>
      <c r="AKN66" s="5"/>
      <c r="AKO66" s="5"/>
      <c r="AKP66" s="5"/>
      <c r="AKQ66" s="5"/>
      <c r="AKR66" s="5"/>
      <c r="AKS66" s="5"/>
      <c r="AKT66" s="5"/>
      <c r="AKU66" s="5"/>
      <c r="AKV66" s="5"/>
      <c r="AKW66" s="5"/>
      <c r="AKX66" s="5"/>
      <c r="AKY66" s="5"/>
      <c r="AKZ66" s="5"/>
      <c r="ALA66" s="5"/>
      <c r="ALB66" s="5"/>
      <c r="ALC66" s="5"/>
      <c r="ALD66" s="5"/>
      <c r="ALE66" s="5"/>
      <c r="ALF66" s="5"/>
      <c r="ALG66" s="5"/>
      <c r="ALH66" s="5"/>
      <c r="ALI66" s="5"/>
      <c r="ALJ66" s="5"/>
      <c r="ALK66" s="5"/>
      <c r="ALL66" s="5"/>
      <c r="ALM66" s="5"/>
      <c r="ALN66" s="5"/>
      <c r="ALO66" s="5"/>
      <c r="ALP66" s="5"/>
      <c r="ALQ66" s="5"/>
      <c r="ALR66" s="5"/>
      <c r="ALS66" s="5"/>
      <c r="ALT66" s="5"/>
      <c r="ALU66" s="5"/>
      <c r="ALV66" s="5"/>
      <c r="ALW66" s="5"/>
      <c r="ALX66" s="5"/>
      <c r="ALY66" s="5"/>
      <c r="ALZ66" s="5"/>
      <c r="AMA66" s="5"/>
      <c r="AMB66" s="5"/>
      <c r="AMC66" s="5"/>
      <c r="AMD66" s="5"/>
      <c r="AME66" s="5"/>
      <c r="AMF66" s="5"/>
      <c r="AMG66" s="5"/>
      <c r="AMH66" s="5"/>
      <c r="AMI66" s="5"/>
      <c r="AMJ66" s="5"/>
      <c r="AMK66" s="5"/>
      <c r="AML66" s="5"/>
      <c r="AMM66" s="5"/>
      <c r="AMN66" s="5"/>
      <c r="AMO66" s="5"/>
      <c r="AMP66" s="5"/>
      <c r="AMQ66" s="5"/>
      <c r="AMR66" s="5"/>
      <c r="AMS66" s="5"/>
      <c r="AMT66" s="5"/>
      <c r="AMU66" s="5"/>
      <c r="AMV66" s="5"/>
      <c r="AMW66" s="5"/>
      <c r="AMX66" s="5"/>
      <c r="AMY66" s="5"/>
      <c r="AMZ66" s="5"/>
      <c r="ANA66" s="5"/>
      <c r="ANB66" s="5"/>
      <c r="ANC66" s="5"/>
      <c r="AND66" s="5"/>
      <c r="ANE66" s="5"/>
      <c r="ANF66" s="5"/>
      <c r="ANG66" s="5"/>
      <c r="ANH66" s="5"/>
      <c r="ANI66" s="5"/>
      <c r="ANJ66" s="5"/>
      <c r="ANK66" s="5"/>
      <c r="ANL66" s="5"/>
      <c r="ANM66" s="5"/>
      <c r="ANN66" s="5"/>
      <c r="ANO66" s="5"/>
      <c r="ANP66" s="5"/>
      <c r="ANQ66" s="5"/>
      <c r="ANR66" s="5"/>
      <c r="ANS66" s="5"/>
      <c r="ANT66" s="5"/>
      <c r="ANU66" s="5"/>
      <c r="ANV66" s="5"/>
      <c r="ANW66" s="5"/>
      <c r="ANX66" s="5"/>
      <c r="ANY66" s="5"/>
      <c r="ANZ66" s="5"/>
      <c r="AOA66" s="5"/>
      <c r="AOB66" s="5"/>
      <c r="AOC66" s="5"/>
      <c r="AOD66" s="5"/>
      <c r="AOE66" s="5"/>
      <c r="AOF66" s="5"/>
      <c r="AOG66" s="5"/>
      <c r="AOH66" s="5"/>
      <c r="AOI66" s="5"/>
      <c r="AOJ66" s="5"/>
      <c r="AOK66" s="5"/>
      <c r="AOL66" s="5"/>
      <c r="AOM66" s="5"/>
      <c r="AON66" s="5"/>
      <c r="AOO66" s="5"/>
      <c r="AOP66" s="5"/>
      <c r="AOQ66" s="5"/>
      <c r="AOR66" s="5"/>
      <c r="AOS66" s="5"/>
      <c r="AOT66" s="5"/>
      <c r="AOU66" s="5"/>
      <c r="AOV66" s="5"/>
      <c r="AOW66" s="5"/>
      <c r="AOX66" s="5"/>
      <c r="AOY66" s="5"/>
      <c r="AOZ66" s="5"/>
      <c r="APA66" s="5"/>
      <c r="APB66" s="5"/>
      <c r="APC66" s="5"/>
      <c r="APD66" s="5"/>
      <c r="APE66" s="5"/>
      <c r="APF66" s="5"/>
      <c r="APG66" s="5"/>
      <c r="APH66" s="5"/>
      <c r="API66" s="5"/>
      <c r="APJ66" s="5"/>
      <c r="APK66" s="5"/>
      <c r="APL66" s="5"/>
      <c r="APM66" s="5"/>
      <c r="APN66" s="5"/>
      <c r="APO66" s="5"/>
      <c r="APP66" s="5"/>
      <c r="APQ66" s="5"/>
      <c r="APR66" s="5"/>
      <c r="APS66" s="5"/>
      <c r="APT66" s="5"/>
      <c r="APU66" s="5"/>
      <c r="APV66" s="5"/>
      <c r="APW66" s="5"/>
      <c r="APX66" s="5"/>
      <c r="APY66" s="5"/>
      <c r="APZ66" s="5"/>
      <c r="AQA66" s="5"/>
      <c r="AQB66" s="5"/>
      <c r="AQC66" s="5"/>
      <c r="AQD66" s="5"/>
      <c r="AQE66" s="5"/>
      <c r="AQF66" s="5"/>
      <c r="AQG66" s="5"/>
      <c r="AQH66" s="5"/>
      <c r="AQI66" s="5"/>
      <c r="AQJ66" s="5"/>
      <c r="AQK66" s="5"/>
      <c r="AQL66" s="5"/>
      <c r="AQM66" s="5"/>
      <c r="AQN66" s="5"/>
      <c r="AQO66" s="5"/>
      <c r="AQP66" s="5"/>
      <c r="AQQ66" s="5"/>
      <c r="AQR66" s="5"/>
      <c r="AQS66" s="5"/>
      <c r="AQT66" s="5"/>
      <c r="AQU66" s="5"/>
      <c r="AQV66" s="5"/>
      <c r="AQW66" s="5"/>
      <c r="AQX66" s="5"/>
      <c r="AQY66" s="5"/>
      <c r="AQZ66" s="5"/>
      <c r="ARA66" s="5"/>
      <c r="ARB66" s="5"/>
      <c r="ARC66" s="5"/>
      <c r="ARD66" s="5"/>
      <c r="ARE66" s="5"/>
      <c r="ARF66" s="5"/>
      <c r="ARG66" s="5"/>
      <c r="ARH66" s="5"/>
      <c r="ARI66" s="5"/>
      <c r="ARJ66" s="5"/>
      <c r="ARK66" s="5"/>
      <c r="ARL66" s="5"/>
      <c r="ARM66" s="5"/>
      <c r="ARN66" s="5"/>
      <c r="ARO66" s="5"/>
      <c r="ARP66" s="5"/>
      <c r="ARQ66" s="5"/>
      <c r="ARR66" s="5"/>
      <c r="ARS66" s="5"/>
      <c r="ART66" s="5"/>
      <c r="ARU66" s="5"/>
      <c r="ARV66" s="5"/>
      <c r="ARW66" s="5"/>
      <c r="ARX66" s="5"/>
      <c r="ARY66" s="5"/>
      <c r="ARZ66" s="5"/>
      <c r="ASA66" s="5"/>
      <c r="ASB66" s="5"/>
      <c r="ASC66" s="5"/>
      <c r="ASD66" s="5"/>
      <c r="ASE66" s="5"/>
      <c r="ASF66" s="5"/>
      <c r="ASG66" s="5"/>
      <c r="ASH66" s="5"/>
      <c r="ASI66" s="5"/>
      <c r="ASJ66" s="5"/>
      <c r="ASK66" s="5"/>
      <c r="ASL66" s="5"/>
      <c r="ASM66" s="5"/>
      <c r="ASN66" s="5"/>
      <c r="ASO66" s="5"/>
      <c r="ASP66" s="5"/>
      <c r="ASQ66" s="5"/>
      <c r="ASR66" s="5"/>
      <c r="ASS66" s="5"/>
      <c r="AST66" s="5"/>
      <c r="ASU66" s="5"/>
      <c r="ASV66" s="5"/>
      <c r="ASW66" s="5"/>
      <c r="ASX66" s="5"/>
      <c r="ASY66" s="5"/>
      <c r="ASZ66" s="5"/>
      <c r="ATA66" s="5"/>
      <c r="ATB66" s="5"/>
      <c r="ATC66" s="5"/>
      <c r="ATD66" s="5"/>
      <c r="ATE66" s="5"/>
      <c r="ATF66" s="5"/>
      <c r="ATG66" s="5"/>
      <c r="ATH66" s="5"/>
      <c r="ATI66" s="5"/>
      <c r="ATJ66" s="5"/>
      <c r="ATK66" s="5"/>
      <c r="ATL66" s="5"/>
      <c r="ATM66" s="5"/>
      <c r="ATN66" s="5"/>
      <c r="ATO66" s="5"/>
      <c r="ATP66" s="5"/>
      <c r="ATQ66" s="5"/>
      <c r="ATR66" s="5"/>
      <c r="ATS66" s="5"/>
      <c r="ATT66" s="5"/>
      <c r="ATU66" s="5"/>
      <c r="ATV66" s="5"/>
      <c r="ATW66" s="5"/>
      <c r="ATX66" s="5"/>
      <c r="ATY66" s="5"/>
      <c r="ATZ66" s="5"/>
      <c r="AUA66" s="5"/>
      <c r="AUB66" s="5"/>
      <c r="AUC66" s="5"/>
      <c r="AUD66" s="5"/>
      <c r="AUE66" s="5"/>
      <c r="AUF66" s="5"/>
      <c r="AUG66" s="5"/>
      <c r="AUH66" s="5"/>
      <c r="AUI66" s="5"/>
      <c r="AUJ66" s="5"/>
      <c r="AUK66" s="5"/>
      <c r="AUL66" s="5"/>
      <c r="AUM66" s="5"/>
      <c r="AUN66" s="5"/>
      <c r="AUO66" s="5"/>
      <c r="AUP66" s="5"/>
      <c r="AUQ66" s="5"/>
      <c r="AUR66" s="5"/>
      <c r="AUS66" s="5"/>
      <c r="AUT66" s="5"/>
      <c r="AUU66" s="5"/>
      <c r="AUV66" s="5"/>
      <c r="AUW66" s="5"/>
      <c r="AUX66" s="5"/>
      <c r="AUY66" s="5"/>
      <c r="AUZ66" s="5"/>
      <c r="AVA66" s="5"/>
      <c r="AVB66" s="5"/>
      <c r="AVC66" s="5"/>
      <c r="AVD66" s="5"/>
      <c r="AVE66" s="5"/>
      <c r="AVF66" s="5"/>
      <c r="AVG66" s="5"/>
      <c r="AVH66" s="5"/>
      <c r="AVI66" s="5"/>
      <c r="AVJ66" s="5"/>
      <c r="AVK66" s="5"/>
      <c r="AVL66" s="5"/>
      <c r="AVM66" s="5"/>
      <c r="AVN66" s="5"/>
      <c r="AVO66" s="5"/>
      <c r="AVP66" s="5"/>
      <c r="AVQ66" s="5"/>
      <c r="AVR66" s="5"/>
      <c r="AVS66" s="5"/>
      <c r="AVT66" s="5"/>
      <c r="AVU66" s="5"/>
      <c r="AVV66" s="5"/>
      <c r="AVW66" s="5"/>
      <c r="AVX66" s="5"/>
      <c r="AVY66" s="5"/>
      <c r="AVZ66" s="5"/>
      <c r="AWA66" s="5"/>
      <c r="AWB66" s="5"/>
      <c r="AWC66" s="5"/>
      <c r="AWD66" s="5"/>
      <c r="AWE66" s="5"/>
      <c r="AWF66" s="5"/>
      <c r="AWG66" s="5"/>
      <c r="AWH66" s="5"/>
      <c r="AWI66" s="5"/>
      <c r="AWJ66" s="5"/>
      <c r="AWK66" s="5"/>
      <c r="AWL66" s="5"/>
      <c r="AWM66" s="5"/>
      <c r="AWN66" s="5"/>
      <c r="AWO66" s="5"/>
      <c r="AWP66" s="5"/>
      <c r="AWQ66" s="5"/>
      <c r="AWR66" s="5"/>
      <c r="AWS66" s="5"/>
      <c r="AWT66" s="5"/>
      <c r="AWU66" s="5"/>
      <c r="AWV66" s="5"/>
      <c r="AWW66" s="5"/>
      <c r="AWX66" s="5"/>
      <c r="AWY66" s="5"/>
      <c r="AWZ66" s="5"/>
      <c r="AXA66" s="5"/>
      <c r="AXB66" s="5"/>
      <c r="AXC66" s="5"/>
      <c r="AXD66" s="5"/>
      <c r="AXE66" s="5"/>
      <c r="AXF66" s="5"/>
      <c r="AXG66" s="5"/>
      <c r="AXH66" s="5"/>
      <c r="AXI66" s="5"/>
      <c r="AXJ66" s="5"/>
      <c r="AXK66" s="5"/>
      <c r="AXL66" s="5"/>
      <c r="AXM66" s="5"/>
      <c r="AXN66" s="5"/>
      <c r="AXO66" s="5"/>
      <c r="AXP66" s="5"/>
      <c r="AXQ66" s="5"/>
      <c r="AXR66" s="5"/>
      <c r="AXS66" s="5"/>
      <c r="AXT66" s="5"/>
      <c r="AXU66" s="5"/>
      <c r="AXV66" s="5"/>
      <c r="AXW66" s="5"/>
      <c r="AXX66" s="5"/>
      <c r="AXY66" s="5"/>
      <c r="AXZ66" s="5"/>
      <c r="AYA66" s="5"/>
      <c r="AYB66" s="5"/>
      <c r="AYC66" s="5"/>
      <c r="AYD66" s="5"/>
      <c r="AYE66" s="5"/>
      <c r="AYF66" s="5"/>
      <c r="AYG66" s="5"/>
      <c r="AYH66" s="5"/>
      <c r="AYI66" s="5"/>
      <c r="AYJ66" s="5"/>
      <c r="AYK66" s="5"/>
      <c r="AYL66" s="5"/>
      <c r="AYM66" s="5"/>
      <c r="AYN66" s="5"/>
      <c r="AYO66" s="5"/>
      <c r="AYP66" s="5"/>
      <c r="AYQ66" s="5"/>
      <c r="AYR66" s="5"/>
      <c r="AYS66" s="5"/>
      <c r="AYT66" s="5"/>
      <c r="AYU66" s="5"/>
      <c r="AYV66" s="5"/>
      <c r="AYW66" s="5"/>
      <c r="AYX66" s="5"/>
      <c r="AYY66" s="5"/>
      <c r="AYZ66" s="5"/>
      <c r="AZA66" s="5"/>
      <c r="AZB66" s="5"/>
      <c r="AZC66" s="5"/>
      <c r="AZD66" s="5"/>
      <c r="AZE66" s="5"/>
      <c r="AZF66" s="5"/>
      <c r="AZG66" s="5"/>
      <c r="AZH66" s="5"/>
      <c r="AZI66" s="5"/>
      <c r="AZJ66" s="5"/>
      <c r="AZK66" s="5"/>
      <c r="AZL66" s="5"/>
      <c r="AZM66" s="5"/>
      <c r="AZN66" s="5"/>
      <c r="AZO66" s="5"/>
      <c r="AZP66" s="5"/>
      <c r="AZQ66" s="5"/>
      <c r="AZR66" s="5"/>
      <c r="AZS66" s="5"/>
      <c r="AZT66" s="5"/>
      <c r="AZU66" s="5"/>
      <c r="AZV66" s="5"/>
      <c r="AZW66" s="5"/>
      <c r="AZX66" s="5"/>
      <c r="AZY66" s="5"/>
      <c r="AZZ66" s="5"/>
      <c r="BAA66" s="5"/>
      <c r="BAB66" s="5"/>
      <c r="BAC66" s="5"/>
      <c r="BAD66" s="5"/>
      <c r="BAE66" s="5"/>
      <c r="BAF66" s="5"/>
      <c r="BAG66" s="5"/>
      <c r="BAH66" s="5"/>
      <c r="BAI66" s="5"/>
      <c r="BAJ66" s="5"/>
      <c r="BAK66" s="5"/>
      <c r="BAL66" s="5"/>
      <c r="BAM66" s="5"/>
      <c r="BAN66" s="5"/>
      <c r="BAO66" s="5"/>
      <c r="BAP66" s="5"/>
      <c r="BAQ66" s="5"/>
      <c r="BAR66" s="5"/>
      <c r="BAS66" s="5"/>
      <c r="BAT66" s="5"/>
      <c r="BAU66" s="5"/>
      <c r="BAV66" s="5"/>
      <c r="BAW66" s="5"/>
      <c r="BAX66" s="5"/>
      <c r="BAY66" s="5"/>
      <c r="BAZ66" s="5"/>
      <c r="BBA66" s="5"/>
      <c r="BBB66" s="5"/>
      <c r="BBC66" s="5"/>
      <c r="BBD66" s="5"/>
      <c r="BBE66" s="5"/>
      <c r="BBF66" s="5"/>
      <c r="BBG66" s="5"/>
      <c r="BBH66" s="5"/>
      <c r="BBI66" s="5"/>
      <c r="BBJ66" s="5"/>
      <c r="BBK66" s="5"/>
      <c r="BBL66" s="5"/>
      <c r="BBM66" s="5"/>
      <c r="BBN66" s="5"/>
      <c r="BBO66" s="5"/>
      <c r="BBP66" s="5"/>
      <c r="BBQ66" s="5"/>
      <c r="BBR66" s="5"/>
      <c r="BBS66" s="5"/>
      <c r="BBT66" s="5"/>
      <c r="BBU66" s="5"/>
      <c r="BBV66" s="5"/>
      <c r="BBW66" s="5"/>
      <c r="BBX66" s="5"/>
      <c r="BBY66" s="5"/>
      <c r="BBZ66" s="5"/>
      <c r="BCA66" s="5"/>
      <c r="BCB66" s="5"/>
      <c r="BCC66" s="5"/>
      <c r="BCD66" s="5"/>
      <c r="BCE66" s="5"/>
      <c r="BCF66" s="5"/>
      <c r="BCG66" s="5"/>
      <c r="BCH66" s="5"/>
      <c r="BCI66" s="5"/>
      <c r="BCJ66" s="5"/>
      <c r="BCK66" s="5"/>
      <c r="BCL66" s="5"/>
      <c r="BCM66" s="5"/>
      <c r="BCN66" s="5"/>
      <c r="BCO66" s="5"/>
      <c r="BCP66" s="5"/>
      <c r="BCQ66" s="5"/>
      <c r="BCR66" s="5"/>
      <c r="BCS66" s="5"/>
      <c r="BCT66" s="5"/>
      <c r="BCU66" s="5"/>
      <c r="BCV66" s="5"/>
      <c r="BCW66" s="5"/>
      <c r="BCX66" s="5"/>
      <c r="BCY66" s="5"/>
      <c r="BCZ66" s="5"/>
      <c r="BDA66" s="5"/>
      <c r="BDB66" s="5"/>
      <c r="BDC66" s="5"/>
      <c r="BDD66" s="5"/>
      <c r="BDE66" s="5"/>
      <c r="BDF66" s="5"/>
      <c r="BDG66" s="5"/>
      <c r="BDH66" s="5"/>
      <c r="BDI66" s="5"/>
      <c r="BDJ66" s="5"/>
      <c r="BDK66" s="5"/>
      <c r="BDL66" s="5"/>
      <c r="BDM66" s="5"/>
      <c r="BDN66" s="5"/>
      <c r="BDO66" s="5"/>
      <c r="BDP66" s="5"/>
      <c r="BDQ66" s="5"/>
      <c r="BDR66" s="5"/>
      <c r="BDS66" s="5"/>
      <c r="BDT66" s="5"/>
      <c r="BDU66" s="5"/>
      <c r="BDV66" s="5"/>
      <c r="BDW66" s="5"/>
      <c r="BDX66" s="5"/>
      <c r="BDY66" s="5"/>
      <c r="BDZ66" s="5"/>
      <c r="BEA66" s="5"/>
      <c r="BEB66" s="5"/>
      <c r="BEC66" s="5"/>
      <c r="BED66" s="5"/>
      <c r="BEE66" s="5"/>
      <c r="BEF66" s="5"/>
      <c r="BEG66" s="5"/>
      <c r="BEH66" s="5"/>
      <c r="BEI66" s="5"/>
      <c r="BEJ66" s="5"/>
      <c r="BEK66" s="5"/>
      <c r="BEL66" s="5"/>
      <c r="BEM66" s="5"/>
      <c r="BEN66" s="5"/>
      <c r="BEO66" s="5"/>
      <c r="BEP66" s="5"/>
      <c r="BEQ66" s="5"/>
      <c r="BER66" s="5"/>
      <c r="BES66" s="5"/>
      <c r="BET66" s="5"/>
      <c r="BEU66" s="5"/>
      <c r="BEV66" s="5"/>
      <c r="BEW66" s="5"/>
      <c r="BEX66" s="5"/>
      <c r="BEY66" s="5"/>
      <c r="BEZ66" s="5"/>
      <c r="BFA66" s="5"/>
      <c r="BFB66" s="5"/>
      <c r="BFC66" s="5"/>
      <c r="BFD66" s="5"/>
      <c r="BFE66" s="5"/>
      <c r="BFF66" s="5"/>
      <c r="BFG66" s="5"/>
      <c r="BFH66" s="5"/>
      <c r="BFI66" s="5"/>
      <c r="BFJ66" s="5"/>
      <c r="BFK66" s="5"/>
      <c r="BFL66" s="5"/>
      <c r="BFM66" s="5"/>
      <c r="BFN66" s="5"/>
      <c r="BFO66" s="5"/>
      <c r="BFP66" s="5"/>
      <c r="BFQ66" s="5"/>
      <c r="BFR66" s="5"/>
      <c r="BFS66" s="5"/>
      <c r="BFT66" s="5"/>
      <c r="BFU66" s="5"/>
      <c r="BFV66" s="5"/>
      <c r="BFW66" s="5"/>
      <c r="BFX66" s="5"/>
      <c r="BFY66" s="5"/>
      <c r="BFZ66" s="5"/>
      <c r="BGA66" s="5"/>
      <c r="BGB66" s="5"/>
      <c r="BGC66" s="5"/>
      <c r="BGD66" s="5"/>
      <c r="BGE66" s="5"/>
      <c r="BGF66" s="5"/>
      <c r="BGG66" s="5"/>
      <c r="BGH66" s="5"/>
      <c r="BGI66" s="5"/>
      <c r="BGJ66" s="5"/>
      <c r="BGK66" s="5"/>
      <c r="BGL66" s="5"/>
      <c r="BGM66" s="5"/>
      <c r="BGN66" s="5"/>
      <c r="BGO66" s="5"/>
      <c r="BGP66" s="5"/>
      <c r="BGQ66" s="5"/>
      <c r="BGR66" s="5"/>
      <c r="BGS66" s="5"/>
      <c r="BGT66" s="5"/>
      <c r="BGU66" s="5"/>
      <c r="BGV66" s="5"/>
      <c r="BGW66" s="5"/>
      <c r="BGX66" s="5"/>
      <c r="BGY66" s="5"/>
      <c r="BGZ66" s="5"/>
      <c r="BHA66" s="5"/>
      <c r="BHB66" s="5"/>
      <c r="BHC66" s="5"/>
      <c r="BHD66" s="5"/>
      <c r="BHE66" s="5"/>
      <c r="BHF66" s="5"/>
      <c r="BHG66" s="5"/>
      <c r="BHH66" s="5"/>
      <c r="BHI66" s="5"/>
      <c r="BHJ66" s="5"/>
      <c r="BHK66" s="5"/>
      <c r="BHL66" s="5"/>
      <c r="BHM66" s="5"/>
      <c r="BHN66" s="5"/>
      <c r="BHO66" s="5"/>
      <c r="BHP66" s="5"/>
      <c r="BHQ66" s="5"/>
      <c r="BHR66" s="5"/>
      <c r="BHS66" s="5"/>
      <c r="BHT66" s="5"/>
      <c r="BHU66" s="5"/>
      <c r="BHV66" s="5"/>
      <c r="BHW66" s="5"/>
      <c r="BHX66" s="5"/>
      <c r="BHY66" s="5"/>
      <c r="BHZ66" s="5"/>
      <c r="BIA66" s="5"/>
      <c r="BIB66" s="5"/>
      <c r="BIC66" s="5"/>
      <c r="BID66" s="5"/>
      <c r="BIE66" s="5"/>
      <c r="BIF66" s="5"/>
      <c r="BIG66" s="5"/>
      <c r="BIH66" s="5"/>
      <c r="BII66" s="5"/>
      <c r="BIJ66" s="5"/>
      <c r="BIK66" s="5"/>
      <c r="BIL66" s="5"/>
      <c r="BIM66" s="5"/>
      <c r="BIN66" s="5"/>
      <c r="BIO66" s="5"/>
      <c r="BIP66" s="5"/>
      <c r="BIQ66" s="5"/>
      <c r="BIR66" s="5"/>
      <c r="BIS66" s="5"/>
      <c r="BIT66" s="5"/>
      <c r="BIU66" s="5"/>
      <c r="BIV66" s="5"/>
      <c r="BIW66" s="5"/>
      <c r="BIX66" s="5"/>
      <c r="BIY66" s="5"/>
      <c r="BIZ66" s="5"/>
      <c r="BJA66" s="5"/>
      <c r="BJB66" s="5"/>
      <c r="BJC66" s="5"/>
      <c r="BJD66" s="5"/>
      <c r="BJE66" s="5"/>
      <c r="BJF66" s="5"/>
      <c r="BJG66" s="5"/>
      <c r="BJH66" s="5"/>
      <c r="BJI66" s="5"/>
      <c r="BJJ66" s="5"/>
      <c r="BJK66" s="5"/>
      <c r="BJL66" s="5"/>
      <c r="BJM66" s="5"/>
      <c r="BJN66" s="5"/>
      <c r="BJO66" s="5"/>
      <c r="BJP66" s="5"/>
      <c r="BJQ66" s="5"/>
      <c r="BJR66" s="5"/>
      <c r="BJS66" s="5"/>
      <c r="BJT66" s="5"/>
      <c r="BJU66" s="5"/>
      <c r="BJV66" s="5"/>
      <c r="BJW66" s="5"/>
      <c r="BJX66" s="5"/>
      <c r="BJY66" s="5"/>
      <c r="BJZ66" s="5"/>
      <c r="BKA66" s="5"/>
      <c r="BKB66" s="5"/>
      <c r="BKC66" s="5"/>
      <c r="BKD66" s="5"/>
      <c r="BKE66" s="5"/>
      <c r="BKF66" s="5"/>
      <c r="BKG66" s="5"/>
      <c r="BKH66" s="5"/>
      <c r="BKI66" s="5"/>
      <c r="BKJ66" s="5"/>
      <c r="BKK66" s="5"/>
      <c r="BKL66" s="5"/>
      <c r="BKM66" s="5"/>
      <c r="BKN66" s="5"/>
      <c r="BKO66" s="5"/>
      <c r="BKP66" s="5"/>
      <c r="BKQ66" s="5"/>
      <c r="BKR66" s="5"/>
      <c r="BKS66" s="5"/>
      <c r="BKT66" s="5"/>
      <c r="BKU66" s="5"/>
      <c r="BKV66" s="5"/>
      <c r="BKW66" s="5"/>
      <c r="BKX66" s="5"/>
      <c r="BKY66" s="5"/>
      <c r="BKZ66" s="5"/>
      <c r="BLA66" s="5"/>
      <c r="BLB66" s="5"/>
      <c r="BLC66" s="5"/>
      <c r="BLD66" s="5"/>
      <c r="BLE66" s="5"/>
      <c r="BLF66" s="5"/>
      <c r="BLG66" s="5"/>
      <c r="BLH66" s="5"/>
      <c r="BLI66" s="5"/>
      <c r="BLJ66" s="5"/>
      <c r="BLK66" s="5"/>
      <c r="BLL66" s="5"/>
      <c r="BLM66" s="5"/>
      <c r="BLN66" s="5"/>
      <c r="BLO66" s="5"/>
      <c r="BLP66" s="5"/>
      <c r="BLQ66" s="5"/>
      <c r="BLR66" s="5"/>
      <c r="BLS66" s="5"/>
      <c r="BLT66" s="5"/>
      <c r="BLU66" s="5"/>
      <c r="BLV66" s="5"/>
      <c r="BLW66" s="5"/>
      <c r="BLX66" s="5"/>
      <c r="BLY66" s="5"/>
      <c r="BLZ66" s="5"/>
      <c r="BMA66" s="5"/>
      <c r="BMB66" s="5"/>
      <c r="BMC66" s="5"/>
      <c r="BMD66" s="5"/>
      <c r="BME66" s="5"/>
      <c r="BMF66" s="5"/>
      <c r="BMG66" s="5"/>
      <c r="BMH66" s="5"/>
      <c r="BMI66" s="5"/>
      <c r="BMJ66" s="5"/>
      <c r="BMK66" s="5"/>
      <c r="BML66" s="5"/>
      <c r="BMM66" s="5"/>
      <c r="BMN66" s="5"/>
      <c r="BMO66" s="5"/>
      <c r="BMP66" s="5"/>
      <c r="BMQ66" s="5"/>
      <c r="BMR66" s="5"/>
      <c r="BMS66" s="5"/>
      <c r="BMT66" s="5"/>
      <c r="BMU66" s="5"/>
      <c r="BMV66" s="5"/>
      <c r="BMW66" s="5"/>
      <c r="BMX66" s="5"/>
      <c r="BMY66" s="5"/>
      <c r="BMZ66" s="5"/>
      <c r="BNA66" s="5"/>
      <c r="BNB66" s="5"/>
      <c r="BNC66" s="5"/>
      <c r="BND66" s="5"/>
      <c r="BNE66" s="5"/>
      <c r="BNF66" s="5"/>
      <c r="BNG66" s="5"/>
      <c r="BNH66" s="5"/>
      <c r="BNI66" s="5"/>
      <c r="BNJ66" s="5"/>
      <c r="BNK66" s="5"/>
      <c r="BNL66" s="5"/>
      <c r="BNM66" s="5"/>
      <c r="BNN66" s="5"/>
      <c r="BNO66" s="5"/>
      <c r="BNP66" s="5"/>
      <c r="BNQ66" s="5"/>
      <c r="BNR66" s="5"/>
      <c r="BNS66" s="5"/>
      <c r="BNT66" s="5"/>
      <c r="BNU66" s="5"/>
      <c r="BNV66" s="5"/>
      <c r="BNW66" s="5"/>
      <c r="BNX66" s="5"/>
      <c r="BNY66" s="5"/>
      <c r="BNZ66" s="5"/>
      <c r="BOA66" s="5"/>
      <c r="BOB66" s="5"/>
      <c r="BOC66" s="5"/>
      <c r="BOD66" s="5"/>
      <c r="BOE66" s="5"/>
      <c r="BOF66" s="5"/>
      <c r="BOG66" s="5"/>
      <c r="BOH66" s="5"/>
      <c r="BOI66" s="5"/>
      <c r="BOJ66" s="5"/>
      <c r="BOK66" s="5"/>
      <c r="BOL66" s="5"/>
      <c r="BOM66" s="5"/>
      <c r="BON66" s="5"/>
      <c r="BOO66" s="5"/>
      <c r="BOP66" s="5"/>
      <c r="BOQ66" s="5"/>
      <c r="BOR66" s="5"/>
      <c r="BOS66" s="5"/>
      <c r="BOT66" s="5"/>
      <c r="BOU66" s="5"/>
      <c r="BOV66" s="5"/>
      <c r="BOW66" s="5"/>
      <c r="BOX66" s="5"/>
      <c r="BOY66" s="5"/>
      <c r="BOZ66" s="5"/>
      <c r="BPA66" s="5"/>
      <c r="BPB66" s="5"/>
      <c r="BPC66" s="5"/>
      <c r="BPD66" s="5"/>
      <c r="BPE66" s="5"/>
      <c r="BPF66" s="5"/>
      <c r="BPG66" s="5"/>
      <c r="BPH66" s="5"/>
      <c r="BPI66" s="5"/>
      <c r="BPJ66" s="5"/>
      <c r="BPK66" s="5"/>
      <c r="BPL66" s="5"/>
      <c r="BPM66" s="5"/>
      <c r="BPN66" s="5"/>
      <c r="BPO66" s="5"/>
      <c r="BPP66" s="5"/>
      <c r="BPQ66" s="5"/>
      <c r="BPR66" s="5"/>
      <c r="BPS66" s="5"/>
      <c r="BPT66" s="5"/>
      <c r="BPU66" s="5"/>
      <c r="BPV66" s="5"/>
      <c r="BPW66" s="5"/>
      <c r="BPX66" s="5"/>
      <c r="BPY66" s="5"/>
      <c r="BPZ66" s="5"/>
      <c r="BQA66" s="5"/>
      <c r="BQB66" s="5"/>
      <c r="BQC66" s="5"/>
      <c r="BQD66" s="5"/>
      <c r="BQE66" s="5"/>
      <c r="BQF66" s="5"/>
      <c r="BQG66" s="5"/>
      <c r="BQH66" s="5"/>
      <c r="BQI66" s="5"/>
      <c r="BQJ66" s="5"/>
      <c r="BQK66" s="5"/>
      <c r="BQL66" s="5"/>
      <c r="BQM66" s="5"/>
      <c r="BQN66" s="5"/>
      <c r="BQO66" s="5"/>
      <c r="BQP66" s="5"/>
      <c r="BQQ66" s="5"/>
      <c r="BQR66" s="5"/>
      <c r="BQS66" s="5"/>
      <c r="BQT66" s="5"/>
      <c r="BQU66" s="5"/>
      <c r="BQV66" s="5"/>
      <c r="BQW66" s="5"/>
      <c r="BQX66" s="5"/>
      <c r="BQY66" s="5"/>
      <c r="BQZ66" s="5"/>
      <c r="BRA66" s="5"/>
      <c r="BRB66" s="5"/>
      <c r="BRC66" s="5"/>
      <c r="BRD66" s="5"/>
      <c r="BRE66" s="5"/>
      <c r="BRF66" s="5"/>
      <c r="BRG66" s="5"/>
      <c r="BRH66" s="5"/>
      <c r="BRI66" s="5"/>
      <c r="BRJ66" s="5"/>
      <c r="BRK66" s="5"/>
      <c r="BRL66" s="5"/>
      <c r="BRM66" s="5"/>
      <c r="BRN66" s="5"/>
      <c r="BRO66" s="5"/>
      <c r="BRP66" s="5"/>
      <c r="BRQ66" s="5"/>
      <c r="BRR66" s="5"/>
      <c r="BRS66" s="5"/>
      <c r="BRT66" s="5"/>
      <c r="BRU66" s="5"/>
      <c r="BRV66" s="5"/>
      <c r="BRW66" s="5"/>
      <c r="BRX66" s="5"/>
      <c r="BRY66" s="5"/>
      <c r="BRZ66" s="5"/>
      <c r="BSA66" s="5"/>
      <c r="BSB66" s="5"/>
      <c r="BSC66" s="5"/>
      <c r="BSD66" s="5"/>
      <c r="BSE66" s="5"/>
      <c r="BSF66" s="5"/>
      <c r="BSG66" s="5"/>
      <c r="BSH66" s="5"/>
      <c r="BSI66" s="5"/>
      <c r="BSJ66" s="5"/>
      <c r="BSK66" s="5"/>
      <c r="BSL66" s="5"/>
      <c r="BSM66" s="5"/>
      <c r="BSN66" s="5"/>
      <c r="BSO66" s="5"/>
      <c r="BSP66" s="5"/>
      <c r="BSQ66" s="5"/>
      <c r="BSR66" s="5"/>
      <c r="BSS66" s="5"/>
      <c r="BST66" s="5"/>
      <c r="BSU66" s="5"/>
      <c r="BSV66" s="5"/>
      <c r="BSW66" s="5"/>
      <c r="BSX66" s="5"/>
      <c r="BSY66" s="5"/>
      <c r="BSZ66" s="5"/>
      <c r="BTA66" s="5"/>
      <c r="BTB66" s="5"/>
      <c r="BTC66" s="5"/>
      <c r="BTD66" s="5"/>
      <c r="BTE66" s="5"/>
      <c r="BTF66" s="5"/>
      <c r="BTG66" s="5"/>
      <c r="BTH66" s="5"/>
      <c r="BTI66" s="5"/>
      <c r="BTJ66" s="5"/>
      <c r="BTK66" s="5"/>
      <c r="BTL66" s="5"/>
      <c r="BTM66" s="5"/>
      <c r="BTN66" s="5"/>
      <c r="BTO66" s="5"/>
      <c r="BTP66" s="5"/>
      <c r="BTQ66" s="5"/>
      <c r="BTR66" s="5"/>
      <c r="BTS66" s="5"/>
      <c r="BTT66" s="5"/>
      <c r="BTU66" s="5"/>
      <c r="BTV66" s="5"/>
      <c r="BTW66" s="5"/>
      <c r="BTX66" s="5"/>
      <c r="BTY66" s="5"/>
      <c r="BTZ66" s="5"/>
      <c r="BUA66" s="5"/>
      <c r="BUB66" s="5"/>
      <c r="BUC66" s="5"/>
      <c r="BUD66" s="5"/>
      <c r="BUE66" s="5"/>
      <c r="BUF66" s="5"/>
      <c r="BUG66" s="5"/>
      <c r="BUH66" s="5"/>
      <c r="BUI66" s="5"/>
      <c r="BUJ66" s="5"/>
      <c r="BUK66" s="5"/>
      <c r="BUL66" s="5"/>
      <c r="BUM66" s="5"/>
      <c r="BUN66" s="5"/>
      <c r="BUO66" s="5"/>
      <c r="BUP66" s="5"/>
      <c r="BUQ66" s="5"/>
      <c r="BUR66" s="5"/>
      <c r="BUS66" s="5"/>
      <c r="BUT66" s="5"/>
      <c r="BUU66" s="5"/>
      <c r="BUV66" s="5"/>
      <c r="BUW66" s="5"/>
      <c r="BUX66" s="5"/>
      <c r="BUY66" s="5"/>
      <c r="BUZ66" s="5"/>
      <c r="BVA66" s="5"/>
      <c r="BVB66" s="5"/>
      <c r="BVC66" s="5"/>
      <c r="BVD66" s="5"/>
      <c r="BVE66" s="5"/>
      <c r="BVF66" s="5"/>
      <c r="BVG66" s="5"/>
      <c r="BVH66" s="5"/>
      <c r="BVI66" s="5"/>
      <c r="BVJ66" s="5"/>
      <c r="BVK66" s="5"/>
      <c r="BVL66" s="5"/>
      <c r="BVM66" s="5"/>
      <c r="BVN66" s="5"/>
      <c r="BVO66" s="5"/>
      <c r="BVP66" s="5"/>
      <c r="BVQ66" s="5"/>
      <c r="BVR66" s="5"/>
      <c r="BVS66" s="5"/>
      <c r="BVT66" s="5"/>
      <c r="BVU66" s="5"/>
      <c r="BVV66" s="5"/>
      <c r="BVW66" s="5"/>
      <c r="BVX66" s="5"/>
      <c r="BVY66" s="5"/>
      <c r="BVZ66" s="5"/>
      <c r="BWA66" s="5"/>
      <c r="BWB66" s="5"/>
      <c r="BWC66" s="5"/>
      <c r="BWD66" s="5"/>
      <c r="BWE66" s="5"/>
      <c r="BWF66" s="5"/>
      <c r="BWG66" s="5"/>
      <c r="BWH66" s="5"/>
      <c r="BWI66" s="5"/>
      <c r="BWJ66" s="5"/>
      <c r="BWK66" s="5"/>
      <c r="BWL66" s="5"/>
      <c r="BWM66" s="5"/>
      <c r="BWN66" s="5"/>
      <c r="BWO66" s="5"/>
      <c r="BWP66" s="5"/>
      <c r="BWQ66" s="5"/>
      <c r="BWR66" s="5"/>
      <c r="BWS66" s="5"/>
      <c r="BWT66" s="5"/>
      <c r="BWU66" s="5"/>
      <c r="BWV66" s="5"/>
      <c r="BWW66" s="5"/>
      <c r="BWX66" s="5"/>
      <c r="BWY66" s="5"/>
      <c r="BWZ66" s="5"/>
      <c r="BXA66" s="5"/>
      <c r="BXB66" s="5"/>
      <c r="BXC66" s="5"/>
      <c r="BXD66" s="5"/>
      <c r="BXE66" s="5"/>
      <c r="BXF66" s="5"/>
      <c r="BXG66" s="5"/>
      <c r="BXH66" s="5"/>
      <c r="BXI66" s="5"/>
      <c r="BXJ66" s="5"/>
      <c r="BXK66" s="5"/>
      <c r="BXL66" s="5"/>
      <c r="BXM66" s="5"/>
      <c r="BXN66" s="5"/>
      <c r="BXO66" s="5"/>
      <c r="BXP66" s="5"/>
      <c r="BXQ66" s="5"/>
      <c r="BXR66" s="5"/>
      <c r="BXS66" s="5"/>
      <c r="BXT66" s="5"/>
      <c r="BXU66" s="5"/>
      <c r="BXV66" s="5"/>
      <c r="BXW66" s="5"/>
      <c r="BXX66" s="5"/>
      <c r="BXY66" s="5"/>
      <c r="BXZ66" s="5"/>
      <c r="BYA66" s="5"/>
      <c r="BYB66" s="5"/>
      <c r="BYC66" s="5"/>
      <c r="BYD66" s="5"/>
      <c r="BYE66" s="5"/>
      <c r="BYF66" s="5"/>
      <c r="BYG66" s="5"/>
      <c r="BYH66" s="5"/>
      <c r="BYI66" s="5"/>
      <c r="BYJ66" s="5"/>
      <c r="BYK66" s="5"/>
      <c r="BYL66" s="5"/>
      <c r="BYM66" s="5"/>
      <c r="BYN66" s="5"/>
      <c r="BYO66" s="5"/>
      <c r="BYP66" s="5"/>
      <c r="BYQ66" s="5"/>
      <c r="BYR66" s="5"/>
      <c r="BYS66" s="5"/>
      <c r="BYT66" s="5"/>
      <c r="BYU66" s="5"/>
      <c r="BYV66" s="5"/>
      <c r="BYW66" s="5"/>
      <c r="BYX66" s="5"/>
      <c r="BYY66" s="5"/>
      <c r="BYZ66" s="5"/>
      <c r="BZA66" s="5"/>
      <c r="BZB66" s="5"/>
      <c r="BZC66" s="5"/>
      <c r="BZD66" s="5"/>
      <c r="BZE66" s="5"/>
      <c r="BZF66" s="5"/>
      <c r="BZG66" s="5"/>
      <c r="BZH66" s="5"/>
      <c r="BZI66" s="5"/>
      <c r="BZJ66" s="5"/>
      <c r="BZK66" s="5"/>
      <c r="BZL66" s="5"/>
      <c r="BZM66" s="5"/>
      <c r="BZN66" s="5"/>
      <c r="BZO66" s="5"/>
      <c r="BZP66" s="5"/>
      <c r="BZQ66" s="5"/>
      <c r="BZR66" s="5"/>
      <c r="BZS66" s="5"/>
      <c r="BZT66" s="5"/>
      <c r="BZU66" s="5"/>
      <c r="BZV66" s="5"/>
      <c r="BZW66" s="5"/>
      <c r="BZX66" s="5"/>
      <c r="BZY66" s="5"/>
      <c r="BZZ66" s="5"/>
      <c r="CAA66" s="5"/>
      <c r="CAB66" s="5"/>
      <c r="CAC66" s="5"/>
      <c r="CAD66" s="5"/>
      <c r="CAE66" s="5"/>
      <c r="CAF66" s="5"/>
      <c r="CAG66" s="5"/>
      <c r="CAH66" s="5"/>
      <c r="CAI66" s="5"/>
      <c r="CAJ66" s="5"/>
      <c r="CAK66" s="5"/>
      <c r="CAL66" s="5"/>
      <c r="CAM66" s="5"/>
      <c r="CAN66" s="5"/>
      <c r="CAO66" s="5"/>
      <c r="CAP66" s="5"/>
      <c r="CAQ66" s="5"/>
      <c r="CAR66" s="5"/>
      <c r="CAS66" s="5"/>
      <c r="CAT66" s="5"/>
      <c r="CAU66" s="5"/>
      <c r="CAV66" s="5"/>
      <c r="CAW66" s="5"/>
      <c r="CAX66" s="5"/>
      <c r="CAY66" s="5"/>
      <c r="CAZ66" s="5"/>
      <c r="CBA66" s="5"/>
      <c r="CBB66" s="5"/>
      <c r="CBC66" s="5"/>
      <c r="CBD66" s="5"/>
      <c r="CBE66" s="5"/>
      <c r="CBF66" s="5"/>
      <c r="CBG66" s="5"/>
      <c r="CBH66" s="5"/>
      <c r="CBI66" s="5"/>
      <c r="CBJ66" s="5"/>
      <c r="CBK66" s="5"/>
      <c r="CBL66" s="5"/>
      <c r="CBM66" s="5"/>
      <c r="CBN66" s="5"/>
      <c r="CBO66" s="5"/>
      <c r="CBP66" s="5"/>
      <c r="CBQ66" s="5"/>
      <c r="CBR66" s="5"/>
      <c r="CBS66" s="5"/>
      <c r="CBT66" s="5"/>
      <c r="CBU66" s="5"/>
      <c r="CBV66" s="5"/>
      <c r="CBW66" s="5"/>
      <c r="CBX66" s="5"/>
      <c r="CBY66" s="5"/>
      <c r="CBZ66" s="5"/>
      <c r="CCA66" s="5"/>
      <c r="CCB66" s="5"/>
      <c r="CCC66" s="5"/>
      <c r="CCD66" s="5"/>
      <c r="CCE66" s="5"/>
      <c r="CCF66" s="5"/>
      <c r="CCG66" s="5"/>
      <c r="CCH66" s="5"/>
      <c r="CCI66" s="5"/>
      <c r="CCJ66" s="5"/>
      <c r="CCK66" s="5"/>
      <c r="CCL66" s="5"/>
      <c r="CCM66" s="5"/>
      <c r="CCN66" s="5"/>
      <c r="CCO66" s="5"/>
      <c r="CCP66" s="5"/>
      <c r="CCQ66" s="5"/>
      <c r="CCR66" s="5"/>
      <c r="CCS66" s="5"/>
      <c r="CCT66" s="5"/>
      <c r="CCU66" s="5"/>
      <c r="CCV66" s="5"/>
      <c r="CCW66" s="5"/>
      <c r="CCX66" s="5"/>
      <c r="CCY66" s="5"/>
      <c r="CCZ66" s="5"/>
      <c r="CDA66" s="5"/>
      <c r="CDB66" s="5"/>
      <c r="CDC66" s="5"/>
      <c r="CDD66" s="5"/>
      <c r="CDE66" s="5"/>
      <c r="CDF66" s="5"/>
      <c r="CDG66" s="5"/>
      <c r="CDH66" s="5"/>
      <c r="CDI66" s="5"/>
      <c r="CDJ66" s="5"/>
      <c r="CDK66" s="5"/>
      <c r="CDL66" s="5"/>
      <c r="CDM66" s="5"/>
      <c r="CDN66" s="5"/>
      <c r="CDO66" s="5"/>
      <c r="CDP66" s="5"/>
      <c r="CDQ66" s="5"/>
      <c r="CDR66" s="5"/>
      <c r="CDS66" s="5"/>
      <c r="CDT66" s="5"/>
      <c r="CDU66" s="5"/>
      <c r="CDV66" s="5"/>
      <c r="CDW66" s="5"/>
      <c r="CDX66" s="5"/>
      <c r="CDY66" s="5"/>
      <c r="CDZ66" s="5"/>
      <c r="CEA66" s="5"/>
      <c r="CEB66" s="5"/>
      <c r="CEC66" s="5"/>
      <c r="CED66" s="5"/>
      <c r="CEE66" s="5"/>
      <c r="CEF66" s="5"/>
      <c r="CEG66" s="5"/>
      <c r="CEH66" s="5"/>
      <c r="CEI66" s="5"/>
      <c r="CEJ66" s="5"/>
      <c r="CEK66" s="5"/>
      <c r="CEL66" s="5"/>
      <c r="CEM66" s="5"/>
      <c r="CEN66" s="5"/>
      <c r="CEO66" s="5"/>
      <c r="CEP66" s="5"/>
      <c r="CEQ66" s="5"/>
      <c r="CER66" s="5"/>
      <c r="CES66" s="5"/>
      <c r="CET66" s="5"/>
      <c r="CEU66" s="5"/>
      <c r="CEV66" s="5"/>
      <c r="CEW66" s="5"/>
      <c r="CEX66" s="5"/>
      <c r="CEY66" s="5"/>
      <c r="CEZ66" s="5"/>
      <c r="CFA66" s="5"/>
      <c r="CFB66" s="5"/>
      <c r="CFC66" s="5"/>
      <c r="CFD66" s="5"/>
      <c r="CFE66" s="5"/>
      <c r="CFF66" s="5"/>
      <c r="CFG66" s="5"/>
      <c r="CFH66" s="5"/>
      <c r="CFI66" s="5"/>
      <c r="CFJ66" s="5"/>
      <c r="CFK66" s="5"/>
      <c r="CFL66" s="5"/>
      <c r="CFM66" s="5"/>
      <c r="CFN66" s="5"/>
      <c r="CFO66" s="5"/>
      <c r="CFP66" s="5"/>
      <c r="CFQ66" s="5"/>
      <c r="CFR66" s="5"/>
      <c r="CFS66" s="5"/>
      <c r="CFT66" s="5"/>
      <c r="CFU66" s="5"/>
      <c r="CFV66" s="5"/>
      <c r="CFW66" s="5"/>
      <c r="CFX66" s="5"/>
      <c r="CFY66" s="5"/>
      <c r="CFZ66" s="5"/>
      <c r="CGA66" s="5"/>
      <c r="CGB66" s="5"/>
      <c r="CGC66" s="5"/>
      <c r="CGD66" s="5"/>
      <c r="CGE66" s="5"/>
      <c r="CGF66" s="5"/>
      <c r="CGG66" s="5"/>
      <c r="CGH66" s="5"/>
      <c r="CGI66" s="5"/>
      <c r="CGJ66" s="5"/>
      <c r="CGK66" s="5"/>
      <c r="CGL66" s="5"/>
      <c r="CGM66" s="5"/>
      <c r="CGN66" s="5"/>
      <c r="CGO66" s="5"/>
      <c r="CGP66" s="5"/>
      <c r="CGQ66" s="5"/>
      <c r="CGR66" s="5"/>
      <c r="CGS66" s="5"/>
      <c r="CGT66" s="5"/>
      <c r="CGU66" s="5"/>
      <c r="CGV66" s="5"/>
      <c r="CGW66" s="5"/>
      <c r="CGX66" s="5"/>
      <c r="CGY66" s="5"/>
      <c r="CGZ66" s="5"/>
      <c r="CHA66" s="5"/>
      <c r="CHB66" s="5"/>
      <c r="CHC66" s="5"/>
      <c r="CHD66" s="5"/>
      <c r="CHE66" s="5"/>
      <c r="CHF66" s="5"/>
      <c r="CHG66" s="5"/>
      <c r="CHH66" s="5"/>
      <c r="CHI66" s="5"/>
      <c r="CHJ66" s="5"/>
      <c r="CHK66" s="5"/>
      <c r="CHL66" s="5"/>
      <c r="CHM66" s="5"/>
      <c r="CHN66" s="5"/>
      <c r="CHO66" s="5"/>
      <c r="CHP66" s="5"/>
      <c r="CHQ66" s="5"/>
      <c r="CHR66" s="5"/>
      <c r="CHS66" s="5"/>
      <c r="CHT66" s="5"/>
      <c r="CHU66" s="5"/>
      <c r="CHV66" s="5"/>
      <c r="CHW66" s="5"/>
      <c r="CHX66" s="5"/>
      <c r="CHY66" s="5"/>
      <c r="CHZ66" s="5"/>
      <c r="CIA66" s="5"/>
      <c r="CIB66" s="5"/>
      <c r="CIC66" s="5"/>
      <c r="CID66" s="5"/>
      <c r="CIE66" s="5"/>
      <c r="CIF66" s="5"/>
      <c r="CIG66" s="5"/>
      <c r="CIH66" s="5"/>
      <c r="CII66" s="5"/>
      <c r="CIJ66" s="5"/>
      <c r="CIK66" s="5"/>
      <c r="CIL66" s="5"/>
      <c r="CIM66" s="5"/>
      <c r="CIN66" s="5"/>
      <c r="CIO66" s="5"/>
      <c r="CIP66" s="5"/>
      <c r="CIQ66" s="5"/>
      <c r="CIR66" s="5"/>
      <c r="CIS66" s="5"/>
      <c r="CIT66" s="5"/>
      <c r="CIU66" s="5"/>
      <c r="CIV66" s="5"/>
      <c r="CIW66" s="5"/>
      <c r="CIX66" s="5"/>
      <c r="CIY66" s="5"/>
      <c r="CIZ66" s="5"/>
      <c r="CJA66" s="5"/>
      <c r="CJB66" s="5"/>
      <c r="CJC66" s="5"/>
      <c r="CJD66" s="5"/>
      <c r="CJE66" s="5"/>
      <c r="CJF66" s="5"/>
      <c r="CJG66" s="5"/>
      <c r="CJH66" s="5"/>
      <c r="CJI66" s="5"/>
      <c r="CJJ66" s="5"/>
      <c r="CJK66" s="5"/>
      <c r="CJL66" s="5"/>
      <c r="CJM66" s="5"/>
      <c r="CJN66" s="5"/>
      <c r="CJO66" s="5"/>
      <c r="CJP66" s="5"/>
      <c r="CJQ66" s="5"/>
      <c r="CJR66" s="5"/>
      <c r="CJS66" s="5"/>
      <c r="CJT66" s="5"/>
      <c r="CJU66" s="5"/>
      <c r="CJV66" s="5"/>
      <c r="CJW66" s="5"/>
      <c r="CJX66" s="5"/>
      <c r="CJY66" s="5"/>
      <c r="CJZ66" s="5"/>
      <c r="CKA66" s="5"/>
      <c r="CKB66" s="5"/>
      <c r="CKC66" s="5"/>
      <c r="CKD66" s="5"/>
      <c r="CKE66" s="5"/>
      <c r="CKF66" s="5"/>
      <c r="CKG66" s="5"/>
      <c r="CKH66" s="5"/>
      <c r="CKI66" s="5"/>
      <c r="CKJ66" s="5"/>
      <c r="CKK66" s="5"/>
      <c r="CKL66" s="5"/>
      <c r="CKM66" s="5"/>
      <c r="CKN66" s="5"/>
      <c r="CKO66" s="5"/>
      <c r="CKP66" s="5"/>
      <c r="CKQ66" s="5"/>
      <c r="CKR66" s="5"/>
      <c r="CKS66" s="5"/>
      <c r="CKT66" s="5"/>
      <c r="CKU66" s="5"/>
      <c r="CKV66" s="5"/>
      <c r="CKW66" s="5"/>
      <c r="CKX66" s="5"/>
      <c r="CKY66" s="5"/>
      <c r="CKZ66" s="5"/>
      <c r="CLA66" s="5"/>
      <c r="CLB66" s="5"/>
      <c r="CLC66" s="5"/>
      <c r="CLD66" s="5"/>
      <c r="CLE66" s="5"/>
      <c r="CLF66" s="5"/>
      <c r="CLG66" s="5"/>
      <c r="CLH66" s="5"/>
      <c r="CLI66" s="5"/>
      <c r="CLJ66" s="5"/>
      <c r="CLK66" s="5"/>
      <c r="CLL66" s="5"/>
      <c r="CLM66" s="5"/>
      <c r="CLN66" s="5"/>
      <c r="CLO66" s="5"/>
      <c r="CLP66" s="5"/>
      <c r="CLQ66" s="5"/>
      <c r="CLR66" s="5"/>
      <c r="CLS66" s="5"/>
      <c r="CLT66" s="5"/>
      <c r="CLU66" s="5"/>
      <c r="CLV66" s="5"/>
      <c r="CLW66" s="5"/>
      <c r="CLX66" s="5"/>
      <c r="CLY66" s="5"/>
      <c r="CLZ66" s="5"/>
      <c r="CMA66" s="5"/>
      <c r="CMB66" s="5"/>
      <c r="CMC66" s="5"/>
      <c r="CMD66" s="5"/>
      <c r="CME66" s="5"/>
      <c r="CMF66" s="5"/>
      <c r="CMG66" s="5"/>
      <c r="CMH66" s="5"/>
      <c r="CMI66" s="5"/>
      <c r="CMJ66" s="5"/>
      <c r="CMK66" s="5"/>
      <c r="CML66" s="5"/>
      <c r="CMM66" s="5"/>
      <c r="CMN66" s="5"/>
      <c r="CMO66" s="5"/>
      <c r="CMP66" s="5"/>
      <c r="CMQ66" s="5"/>
      <c r="CMR66" s="5"/>
      <c r="CMS66" s="5"/>
      <c r="CMT66" s="5"/>
      <c r="CMU66" s="5"/>
      <c r="CMV66" s="5"/>
      <c r="CMW66" s="5"/>
      <c r="CMX66" s="5"/>
      <c r="CMY66" s="5"/>
      <c r="CMZ66" s="5"/>
      <c r="CNA66" s="5"/>
      <c r="CNB66" s="5"/>
      <c r="CNC66" s="5"/>
      <c r="CND66" s="5"/>
      <c r="CNE66" s="5"/>
      <c r="CNF66" s="5"/>
      <c r="CNG66" s="5"/>
      <c r="CNH66" s="5"/>
      <c r="CNI66" s="5"/>
      <c r="CNJ66" s="5"/>
      <c r="CNK66" s="5"/>
      <c r="CNL66" s="5"/>
      <c r="CNM66" s="5"/>
      <c r="CNN66" s="5"/>
      <c r="CNO66" s="5"/>
      <c r="CNP66" s="5"/>
      <c r="CNQ66" s="5"/>
      <c r="CNR66" s="5"/>
      <c r="CNS66" s="5"/>
      <c r="CNT66" s="5"/>
      <c r="CNU66" s="5"/>
      <c r="CNV66" s="5"/>
      <c r="CNW66" s="5"/>
      <c r="CNX66" s="5"/>
      <c r="CNY66" s="5"/>
      <c r="CNZ66" s="5"/>
      <c r="COA66" s="5"/>
      <c r="COB66" s="5"/>
      <c r="COC66" s="5"/>
      <c r="COD66" s="5"/>
      <c r="COE66" s="5"/>
      <c r="COF66" s="5"/>
      <c r="COG66" s="5"/>
      <c r="COH66" s="5"/>
      <c r="COI66" s="5"/>
      <c r="COJ66" s="5"/>
      <c r="COK66" s="5"/>
      <c r="COL66" s="5"/>
      <c r="COM66" s="5"/>
      <c r="CON66" s="5"/>
      <c r="COO66" s="5"/>
      <c r="COP66" s="5"/>
      <c r="COQ66" s="5"/>
      <c r="COR66" s="5"/>
      <c r="COS66" s="5"/>
      <c r="COT66" s="5"/>
      <c r="COU66" s="5"/>
      <c r="COV66" s="5"/>
      <c r="COW66" s="5"/>
      <c r="COX66" s="5"/>
      <c r="COY66" s="5"/>
      <c r="COZ66" s="5"/>
      <c r="CPA66" s="5"/>
      <c r="CPB66" s="5"/>
      <c r="CPC66" s="5"/>
      <c r="CPD66" s="5"/>
      <c r="CPE66" s="5"/>
      <c r="CPF66" s="5"/>
      <c r="CPG66" s="5"/>
      <c r="CPH66" s="5"/>
      <c r="CPI66" s="5"/>
      <c r="CPJ66" s="5"/>
      <c r="CPK66" s="5"/>
      <c r="CPL66" s="5"/>
      <c r="CPM66" s="5"/>
      <c r="CPN66" s="5"/>
      <c r="CPO66" s="5"/>
      <c r="CPP66" s="5"/>
      <c r="CPQ66" s="5"/>
      <c r="CPR66" s="5"/>
      <c r="CPS66" s="5"/>
      <c r="CPT66" s="5"/>
      <c r="CPU66" s="5"/>
      <c r="CPV66" s="5"/>
      <c r="CPW66" s="5"/>
      <c r="CPX66" s="5"/>
      <c r="CPY66" s="5"/>
      <c r="CPZ66" s="5"/>
      <c r="CQA66" s="5"/>
      <c r="CQB66" s="5"/>
      <c r="CQC66" s="5"/>
      <c r="CQD66" s="5"/>
      <c r="CQE66" s="5"/>
      <c r="CQF66" s="5"/>
      <c r="CQG66" s="5"/>
      <c r="CQH66" s="5"/>
      <c r="CQI66" s="5"/>
      <c r="CQJ66" s="5"/>
      <c r="CQK66" s="5"/>
      <c r="CQL66" s="5"/>
      <c r="CQM66" s="5"/>
      <c r="CQN66" s="5"/>
      <c r="CQO66" s="5"/>
      <c r="CQP66" s="5"/>
      <c r="CQQ66" s="5"/>
      <c r="CQR66" s="5"/>
      <c r="CQS66" s="5"/>
      <c r="CQT66" s="5"/>
      <c r="CQU66" s="5"/>
      <c r="CQV66" s="5"/>
      <c r="CQW66" s="5"/>
      <c r="CQX66" s="5"/>
      <c r="CQY66" s="5"/>
      <c r="CQZ66" s="5"/>
      <c r="CRA66" s="5"/>
      <c r="CRB66" s="5"/>
      <c r="CRC66" s="5"/>
      <c r="CRD66" s="5"/>
      <c r="CRE66" s="5"/>
      <c r="CRF66" s="5"/>
      <c r="CRG66" s="5"/>
      <c r="CRH66" s="5"/>
      <c r="CRI66" s="5"/>
      <c r="CRJ66" s="5"/>
      <c r="CRK66" s="5"/>
      <c r="CRL66" s="5"/>
      <c r="CRM66" s="5"/>
      <c r="CRN66" s="5"/>
      <c r="CRO66" s="5"/>
      <c r="CRP66" s="5"/>
      <c r="CRQ66" s="5"/>
      <c r="CRR66" s="5"/>
      <c r="CRS66" s="5"/>
      <c r="CRT66" s="5"/>
      <c r="CRU66" s="5"/>
      <c r="CRV66" s="5"/>
      <c r="CRW66" s="5"/>
      <c r="CRX66" s="5"/>
      <c r="CRY66" s="5"/>
      <c r="CRZ66" s="5"/>
      <c r="CSA66" s="5"/>
      <c r="CSB66" s="5"/>
      <c r="CSC66" s="5"/>
      <c r="CSD66" s="5"/>
      <c r="CSE66" s="5"/>
      <c r="CSF66" s="5"/>
      <c r="CSG66" s="5"/>
      <c r="CSH66" s="5"/>
      <c r="CSI66" s="5"/>
      <c r="CSJ66" s="5"/>
      <c r="CSK66" s="5"/>
      <c r="CSL66" s="5"/>
      <c r="CSM66" s="5"/>
      <c r="CSN66" s="5"/>
      <c r="CSO66" s="5"/>
      <c r="CSP66" s="5"/>
      <c r="CSQ66" s="5"/>
      <c r="CSR66" s="5"/>
      <c r="CSS66" s="5"/>
      <c r="CST66" s="5"/>
      <c r="CSU66" s="5"/>
      <c r="CSV66" s="5"/>
      <c r="CSW66" s="5"/>
      <c r="CSX66" s="5"/>
      <c r="CSY66" s="5"/>
      <c r="CSZ66" s="5"/>
      <c r="CTA66" s="5"/>
      <c r="CTB66" s="5"/>
      <c r="CTC66" s="5"/>
      <c r="CTD66" s="5"/>
      <c r="CTE66" s="5"/>
      <c r="CTF66" s="5"/>
      <c r="CTG66" s="5"/>
      <c r="CTH66" s="5"/>
      <c r="CTI66" s="5"/>
      <c r="CTJ66" s="5"/>
      <c r="CTK66" s="5"/>
      <c r="CTL66" s="5"/>
      <c r="CTM66" s="5"/>
      <c r="CTN66" s="5"/>
      <c r="CTO66" s="5"/>
      <c r="CTP66" s="5"/>
      <c r="CTQ66" s="5"/>
      <c r="CTR66" s="5"/>
      <c r="CTS66" s="5"/>
      <c r="CTT66" s="5"/>
      <c r="CTU66" s="5"/>
      <c r="CTV66" s="5"/>
      <c r="CTW66" s="5"/>
      <c r="CTX66" s="5"/>
      <c r="CTY66" s="5"/>
      <c r="CTZ66" s="5"/>
      <c r="CUA66" s="5"/>
      <c r="CUB66" s="5"/>
      <c r="CUC66" s="5"/>
      <c r="CUD66" s="5"/>
      <c r="CUE66" s="5"/>
      <c r="CUF66" s="5"/>
      <c r="CUG66" s="5"/>
      <c r="CUH66" s="5"/>
      <c r="CUI66" s="5"/>
      <c r="CUJ66" s="5"/>
      <c r="CUK66" s="5"/>
      <c r="CUL66" s="5"/>
      <c r="CUM66" s="5"/>
      <c r="CUN66" s="5"/>
      <c r="CUO66" s="5"/>
      <c r="CUP66" s="5"/>
      <c r="CUQ66" s="5"/>
      <c r="CUR66" s="5"/>
      <c r="CUS66" s="5"/>
      <c r="CUT66" s="5"/>
      <c r="CUU66" s="5"/>
      <c r="CUV66" s="5"/>
      <c r="CUW66" s="5"/>
      <c r="CUX66" s="5"/>
      <c r="CUY66" s="5"/>
      <c r="CUZ66" s="5"/>
      <c r="CVA66" s="5"/>
      <c r="CVB66" s="5"/>
      <c r="CVC66" s="5"/>
      <c r="CVD66" s="5"/>
      <c r="CVE66" s="5"/>
      <c r="CVF66" s="5"/>
      <c r="CVG66" s="5"/>
      <c r="CVH66" s="5"/>
      <c r="CVI66" s="5"/>
      <c r="CVJ66" s="5"/>
      <c r="CVK66" s="5"/>
      <c r="CVL66" s="5"/>
      <c r="CVM66" s="5"/>
      <c r="CVN66" s="5"/>
      <c r="CVO66" s="5"/>
      <c r="CVP66" s="5"/>
      <c r="CVQ66" s="5"/>
      <c r="CVR66" s="5"/>
      <c r="CVS66" s="5"/>
      <c r="CVT66" s="5"/>
      <c r="CVU66" s="5"/>
      <c r="CVV66" s="5"/>
      <c r="CVW66" s="5"/>
      <c r="CVX66" s="5"/>
      <c r="CVY66" s="5"/>
      <c r="CVZ66" s="5"/>
      <c r="CWA66" s="5"/>
      <c r="CWB66" s="5"/>
      <c r="CWC66" s="5"/>
      <c r="CWD66" s="5"/>
      <c r="CWE66" s="5"/>
      <c r="CWF66" s="5"/>
      <c r="CWG66" s="5"/>
      <c r="CWH66" s="5"/>
      <c r="CWI66" s="5"/>
      <c r="CWJ66" s="5"/>
      <c r="CWK66" s="5"/>
      <c r="CWL66" s="5"/>
      <c r="CWM66" s="5"/>
      <c r="CWN66" s="5"/>
      <c r="CWO66" s="5"/>
      <c r="CWP66" s="5"/>
      <c r="CWQ66" s="5"/>
      <c r="CWR66" s="5"/>
      <c r="CWS66" s="5"/>
      <c r="CWT66" s="5"/>
      <c r="CWU66" s="5"/>
      <c r="CWV66" s="5"/>
      <c r="CWW66" s="5"/>
      <c r="CWX66" s="5"/>
      <c r="CWY66" s="5"/>
      <c r="CWZ66" s="5"/>
      <c r="CXA66" s="5"/>
      <c r="CXB66" s="5"/>
      <c r="CXC66" s="5"/>
      <c r="CXD66" s="5"/>
      <c r="CXE66" s="5"/>
      <c r="CXF66" s="5"/>
      <c r="CXG66" s="5"/>
      <c r="CXH66" s="5"/>
      <c r="CXI66" s="5"/>
      <c r="CXJ66" s="5"/>
      <c r="CXK66" s="5"/>
      <c r="CXL66" s="5"/>
      <c r="CXM66" s="5"/>
      <c r="CXN66" s="5"/>
      <c r="CXO66" s="5"/>
      <c r="CXP66" s="5"/>
      <c r="CXQ66" s="5"/>
      <c r="CXR66" s="5"/>
      <c r="CXS66" s="5"/>
      <c r="CXT66" s="5"/>
      <c r="CXU66" s="5"/>
      <c r="CXV66" s="5"/>
      <c r="CXW66" s="5"/>
      <c r="CXX66" s="5"/>
      <c r="CXY66" s="5"/>
      <c r="CXZ66" s="5"/>
      <c r="CYA66" s="5"/>
      <c r="CYB66" s="5"/>
      <c r="CYC66" s="5"/>
      <c r="CYD66" s="5"/>
      <c r="CYE66" s="5"/>
      <c r="CYF66" s="5"/>
      <c r="CYG66" s="5"/>
      <c r="CYH66" s="5"/>
      <c r="CYI66" s="5"/>
      <c r="CYJ66" s="5"/>
      <c r="CYK66" s="5"/>
      <c r="CYL66" s="5"/>
      <c r="CYM66" s="5"/>
      <c r="CYN66" s="5"/>
      <c r="CYO66" s="5"/>
      <c r="CYP66" s="5"/>
      <c r="CYQ66" s="5"/>
      <c r="CYR66" s="5"/>
      <c r="CYS66" s="5"/>
      <c r="CYT66" s="5"/>
      <c r="CYU66" s="5"/>
      <c r="CYV66" s="5"/>
      <c r="CYW66" s="5"/>
      <c r="CYX66" s="5"/>
      <c r="CYY66" s="5"/>
      <c r="CYZ66" s="5"/>
      <c r="CZA66" s="5"/>
      <c r="CZB66" s="5"/>
      <c r="CZC66" s="5"/>
      <c r="CZD66" s="5"/>
      <c r="CZE66" s="5"/>
      <c r="CZF66" s="5"/>
      <c r="CZG66" s="5"/>
      <c r="CZH66" s="5"/>
      <c r="CZI66" s="5"/>
      <c r="CZJ66" s="5"/>
      <c r="CZK66" s="5"/>
      <c r="CZL66" s="5"/>
      <c r="CZM66" s="5"/>
      <c r="CZN66" s="5"/>
      <c r="CZO66" s="5"/>
      <c r="CZP66" s="5"/>
      <c r="CZQ66" s="5"/>
      <c r="CZR66" s="5"/>
      <c r="CZS66" s="5"/>
      <c r="CZT66" s="5"/>
      <c r="CZU66" s="5"/>
      <c r="CZV66" s="5"/>
      <c r="CZW66" s="5"/>
      <c r="CZX66" s="5"/>
      <c r="CZY66" s="5"/>
      <c r="CZZ66" s="5"/>
      <c r="DAA66" s="5"/>
      <c r="DAB66" s="5"/>
      <c r="DAC66" s="5"/>
      <c r="DAD66" s="5"/>
      <c r="DAE66" s="5"/>
      <c r="DAF66" s="5"/>
      <c r="DAG66" s="5"/>
      <c r="DAH66" s="5"/>
      <c r="DAI66" s="5"/>
      <c r="DAJ66" s="5"/>
      <c r="DAK66" s="5"/>
      <c r="DAL66" s="5"/>
      <c r="DAM66" s="5"/>
      <c r="DAN66" s="5"/>
      <c r="DAO66" s="5"/>
      <c r="DAP66" s="5"/>
      <c r="DAQ66" s="5"/>
      <c r="DAR66" s="5"/>
      <c r="DAS66" s="5"/>
      <c r="DAT66" s="5"/>
      <c r="DAU66" s="5"/>
      <c r="DAV66" s="5"/>
      <c r="DAW66" s="5"/>
      <c r="DAX66" s="5"/>
      <c r="DAY66" s="5"/>
      <c r="DAZ66" s="5"/>
      <c r="DBA66" s="5"/>
      <c r="DBB66" s="5"/>
      <c r="DBC66" s="5"/>
      <c r="DBD66" s="5"/>
      <c r="DBE66" s="5"/>
      <c r="DBF66" s="5"/>
      <c r="DBG66" s="5"/>
      <c r="DBH66" s="5"/>
      <c r="DBI66" s="5"/>
      <c r="DBJ66" s="5"/>
      <c r="DBK66" s="5"/>
      <c r="DBL66" s="5"/>
      <c r="DBM66" s="5"/>
      <c r="DBN66" s="5"/>
      <c r="DBO66" s="5"/>
      <c r="DBP66" s="5"/>
      <c r="DBQ66" s="5"/>
      <c r="DBR66" s="5"/>
      <c r="DBS66" s="5"/>
      <c r="DBT66" s="5"/>
      <c r="DBU66" s="5"/>
      <c r="DBV66" s="5"/>
      <c r="DBW66" s="5"/>
      <c r="DBX66" s="5"/>
      <c r="DBY66" s="5"/>
      <c r="DBZ66" s="5"/>
      <c r="DCA66" s="5"/>
      <c r="DCB66" s="5"/>
      <c r="DCC66" s="5"/>
      <c r="DCD66" s="5"/>
      <c r="DCE66" s="5"/>
      <c r="DCF66" s="5"/>
      <c r="DCG66" s="5"/>
      <c r="DCH66" s="5"/>
      <c r="DCI66" s="5"/>
      <c r="DCJ66" s="5"/>
      <c r="DCK66" s="5"/>
      <c r="DCL66" s="5"/>
      <c r="DCM66" s="5"/>
      <c r="DCN66" s="5"/>
      <c r="DCO66" s="5"/>
      <c r="DCP66" s="5"/>
      <c r="DCQ66" s="5"/>
      <c r="DCR66" s="5"/>
      <c r="DCS66" s="5"/>
      <c r="DCT66" s="5"/>
      <c r="DCU66" s="5"/>
      <c r="DCV66" s="5"/>
      <c r="DCW66" s="5"/>
      <c r="DCX66" s="5"/>
      <c r="DCY66" s="5"/>
      <c r="DCZ66" s="5"/>
      <c r="DDA66" s="5"/>
      <c r="DDB66" s="5"/>
      <c r="DDC66" s="5"/>
      <c r="DDD66" s="5"/>
      <c r="DDE66" s="5"/>
      <c r="DDF66" s="5"/>
      <c r="DDG66" s="5"/>
      <c r="DDH66" s="5"/>
      <c r="DDI66" s="5"/>
      <c r="DDJ66" s="5"/>
      <c r="DDK66" s="5"/>
      <c r="DDL66" s="5"/>
      <c r="DDM66" s="5"/>
      <c r="DDN66" s="5"/>
      <c r="DDO66" s="5"/>
      <c r="DDP66" s="5"/>
      <c r="DDQ66" s="5"/>
      <c r="DDR66" s="5"/>
      <c r="DDS66" s="5"/>
      <c r="DDT66" s="5"/>
      <c r="DDU66" s="5"/>
      <c r="DDV66" s="5"/>
      <c r="DDW66" s="5"/>
      <c r="DDX66" s="5"/>
      <c r="DDY66" s="5"/>
      <c r="DDZ66" s="5"/>
      <c r="DEA66" s="5"/>
      <c r="DEB66" s="5"/>
      <c r="DEC66" s="5"/>
      <c r="DED66" s="5"/>
      <c r="DEE66" s="5"/>
      <c r="DEF66" s="5"/>
      <c r="DEG66" s="5"/>
      <c r="DEH66" s="5"/>
      <c r="DEI66" s="5"/>
      <c r="DEJ66" s="5"/>
      <c r="DEK66" s="5"/>
      <c r="DEL66" s="5"/>
      <c r="DEM66" s="5"/>
      <c r="DEN66" s="5"/>
      <c r="DEO66" s="5"/>
      <c r="DEP66" s="5"/>
      <c r="DEQ66" s="5"/>
      <c r="DER66" s="5"/>
      <c r="DES66" s="5"/>
      <c r="DET66" s="5"/>
      <c r="DEU66" s="5"/>
      <c r="DEV66" s="5"/>
      <c r="DEW66" s="5"/>
      <c r="DEX66" s="5"/>
      <c r="DEY66" s="5"/>
      <c r="DEZ66" s="5"/>
      <c r="DFA66" s="5"/>
      <c r="DFB66" s="5"/>
      <c r="DFC66" s="5"/>
      <c r="DFD66" s="5"/>
      <c r="DFE66" s="5"/>
      <c r="DFF66" s="5"/>
      <c r="DFG66" s="5"/>
      <c r="DFH66" s="5"/>
      <c r="DFI66" s="5"/>
      <c r="DFJ66" s="5"/>
      <c r="DFK66" s="5"/>
      <c r="DFL66" s="5"/>
      <c r="DFM66" s="5"/>
      <c r="DFN66" s="5"/>
      <c r="DFO66" s="5"/>
      <c r="DFP66" s="5"/>
      <c r="DFQ66" s="5"/>
      <c r="DFR66" s="5"/>
      <c r="DFS66" s="5"/>
      <c r="DFT66" s="5"/>
      <c r="DFU66" s="5"/>
      <c r="DFV66" s="5"/>
      <c r="DFW66" s="5"/>
      <c r="DFX66" s="5"/>
      <c r="DFY66" s="5"/>
      <c r="DFZ66" s="5"/>
      <c r="DGA66" s="5"/>
      <c r="DGB66" s="5"/>
      <c r="DGC66" s="5"/>
      <c r="DGD66" s="5"/>
      <c r="DGE66" s="5"/>
      <c r="DGF66" s="5"/>
      <c r="DGG66" s="5"/>
      <c r="DGH66" s="5"/>
      <c r="DGI66" s="5"/>
      <c r="DGJ66" s="5"/>
      <c r="DGK66" s="5"/>
      <c r="DGL66" s="5"/>
      <c r="DGM66" s="5"/>
      <c r="DGN66" s="5"/>
      <c r="DGO66" s="5"/>
      <c r="DGP66" s="5"/>
      <c r="DGQ66" s="5"/>
      <c r="DGR66" s="5"/>
      <c r="DGS66" s="5"/>
      <c r="DGT66" s="5"/>
      <c r="DGU66" s="5"/>
      <c r="DGV66" s="5"/>
      <c r="DGW66" s="5"/>
      <c r="DGX66" s="5"/>
      <c r="DGY66" s="5"/>
      <c r="DGZ66" s="5"/>
      <c r="DHA66" s="5"/>
      <c r="DHB66" s="5"/>
      <c r="DHC66" s="5"/>
      <c r="DHD66" s="5"/>
      <c r="DHE66" s="5"/>
      <c r="DHF66" s="5"/>
      <c r="DHG66" s="5"/>
      <c r="DHH66" s="5"/>
      <c r="DHI66" s="5"/>
      <c r="DHJ66" s="5"/>
      <c r="DHK66" s="5"/>
      <c r="DHL66" s="5"/>
      <c r="DHM66" s="5"/>
      <c r="DHN66" s="5"/>
      <c r="DHO66" s="5"/>
      <c r="DHP66" s="5"/>
      <c r="DHQ66" s="5"/>
      <c r="DHR66" s="5"/>
      <c r="DHS66" s="5"/>
      <c r="DHT66" s="5"/>
      <c r="DHU66" s="5"/>
      <c r="DHV66" s="5"/>
      <c r="DHW66" s="5"/>
      <c r="DHX66" s="5"/>
      <c r="DHY66" s="5"/>
      <c r="DHZ66" s="5"/>
      <c r="DIA66" s="5"/>
      <c r="DIB66" s="5"/>
      <c r="DIC66" s="5"/>
      <c r="DID66" s="5"/>
      <c r="DIE66" s="5"/>
      <c r="DIF66" s="5"/>
      <c r="DIG66" s="5"/>
      <c r="DIH66" s="5"/>
      <c r="DII66" s="5"/>
      <c r="DIJ66" s="5"/>
      <c r="DIK66" s="5"/>
      <c r="DIL66" s="5"/>
      <c r="DIM66" s="5"/>
      <c r="DIN66" s="5"/>
      <c r="DIO66" s="5"/>
      <c r="DIP66" s="5"/>
      <c r="DIQ66" s="5"/>
      <c r="DIR66" s="5"/>
      <c r="DIS66" s="5"/>
      <c r="DIT66" s="5"/>
      <c r="DIU66" s="5"/>
      <c r="DIV66" s="5"/>
      <c r="DIW66" s="5"/>
      <c r="DIX66" s="5"/>
      <c r="DIY66" s="5"/>
      <c r="DIZ66" s="5"/>
      <c r="DJA66" s="5"/>
      <c r="DJB66" s="5"/>
      <c r="DJC66" s="5"/>
      <c r="DJD66" s="5"/>
      <c r="DJE66" s="5"/>
      <c r="DJF66" s="5"/>
      <c r="DJG66" s="5"/>
      <c r="DJH66" s="5"/>
      <c r="DJI66" s="5"/>
      <c r="DJJ66" s="5"/>
      <c r="DJK66" s="5"/>
      <c r="DJL66" s="5"/>
      <c r="DJM66" s="5"/>
      <c r="DJN66" s="5"/>
      <c r="DJO66" s="5"/>
      <c r="DJP66" s="5"/>
      <c r="DJQ66" s="5"/>
      <c r="DJR66" s="5"/>
      <c r="DJS66" s="5"/>
      <c r="DJT66" s="5"/>
      <c r="DJU66" s="5"/>
      <c r="DJV66" s="5"/>
      <c r="DJW66" s="5"/>
      <c r="DJX66" s="5"/>
      <c r="DJY66" s="5"/>
      <c r="DJZ66" s="5"/>
      <c r="DKA66" s="5"/>
      <c r="DKB66" s="5"/>
      <c r="DKC66" s="5"/>
      <c r="DKD66" s="5"/>
      <c r="DKE66" s="5"/>
      <c r="DKF66" s="5"/>
      <c r="DKG66" s="5"/>
      <c r="DKH66" s="5"/>
      <c r="DKI66" s="5"/>
      <c r="DKJ66" s="5"/>
      <c r="DKK66" s="5"/>
      <c r="DKL66" s="5"/>
      <c r="DKM66" s="5"/>
      <c r="DKN66" s="5"/>
      <c r="DKO66" s="5"/>
      <c r="DKP66" s="5"/>
      <c r="DKQ66" s="5"/>
      <c r="DKR66" s="5"/>
      <c r="DKS66" s="5"/>
      <c r="DKT66" s="5"/>
      <c r="DKU66" s="5"/>
      <c r="DKV66" s="5"/>
      <c r="DKW66" s="5"/>
      <c r="DKX66" s="5"/>
      <c r="DKY66" s="5"/>
      <c r="DKZ66" s="5"/>
      <c r="DLA66" s="5"/>
      <c r="DLB66" s="5"/>
      <c r="DLC66" s="5"/>
      <c r="DLD66" s="5"/>
      <c r="DLE66" s="5"/>
      <c r="DLF66" s="5"/>
      <c r="DLG66" s="5"/>
      <c r="DLH66" s="5"/>
      <c r="DLI66" s="5"/>
      <c r="DLJ66" s="5"/>
      <c r="DLK66" s="5"/>
      <c r="DLL66" s="5"/>
      <c r="DLM66" s="5"/>
      <c r="DLN66" s="5"/>
      <c r="DLO66" s="5"/>
      <c r="DLP66" s="5"/>
      <c r="DLQ66" s="5"/>
      <c r="DLR66" s="5"/>
      <c r="DLS66" s="5"/>
      <c r="DLT66" s="5"/>
      <c r="DLU66" s="5"/>
      <c r="DLV66" s="5"/>
      <c r="DLW66" s="5"/>
      <c r="DLX66" s="5"/>
      <c r="DLY66" s="5"/>
      <c r="DLZ66" s="5"/>
      <c r="DMA66" s="5"/>
      <c r="DMB66" s="5"/>
      <c r="DMC66" s="5"/>
      <c r="DMD66" s="5"/>
      <c r="DME66" s="5"/>
      <c r="DMF66" s="5"/>
      <c r="DMG66" s="5"/>
      <c r="DMH66" s="5"/>
      <c r="DMI66" s="5"/>
      <c r="DMJ66" s="5"/>
      <c r="DMK66" s="5"/>
      <c r="DML66" s="5"/>
      <c r="DMM66" s="5"/>
      <c r="DMN66" s="5"/>
      <c r="DMO66" s="5"/>
      <c r="DMP66" s="5"/>
      <c r="DMQ66" s="5"/>
      <c r="DMR66" s="5"/>
      <c r="DMS66" s="5"/>
      <c r="DMT66" s="5"/>
      <c r="DMU66" s="5"/>
      <c r="DMV66" s="5"/>
      <c r="DMW66" s="5"/>
      <c r="DMX66" s="5"/>
      <c r="DMY66" s="5"/>
      <c r="DMZ66" s="5"/>
      <c r="DNA66" s="5"/>
      <c r="DNB66" s="5"/>
      <c r="DNC66" s="5"/>
      <c r="DND66" s="5"/>
      <c r="DNE66" s="5"/>
      <c r="DNF66" s="5"/>
      <c r="DNG66" s="5"/>
      <c r="DNH66" s="5"/>
      <c r="DNI66" s="5"/>
      <c r="DNJ66" s="5"/>
      <c r="DNK66" s="5"/>
      <c r="DNL66" s="5"/>
      <c r="DNM66" s="5"/>
      <c r="DNN66" s="5"/>
      <c r="DNO66" s="5"/>
      <c r="DNP66" s="5"/>
      <c r="DNQ66" s="5"/>
      <c r="DNR66" s="5"/>
      <c r="DNS66" s="5"/>
      <c r="DNT66" s="5"/>
      <c r="DNU66" s="5"/>
      <c r="DNV66" s="5"/>
      <c r="DNW66" s="5"/>
      <c r="DNX66" s="5"/>
      <c r="DNY66" s="5"/>
      <c r="DNZ66" s="5"/>
      <c r="DOA66" s="5"/>
      <c r="DOB66" s="5"/>
      <c r="DOC66" s="5"/>
      <c r="DOD66" s="5"/>
      <c r="DOE66" s="5"/>
      <c r="DOF66" s="5"/>
      <c r="DOG66" s="5"/>
      <c r="DOH66" s="5"/>
      <c r="DOI66" s="5"/>
      <c r="DOJ66" s="5"/>
      <c r="DOK66" s="5"/>
      <c r="DOL66" s="5"/>
      <c r="DOM66" s="5"/>
      <c r="DON66" s="5"/>
      <c r="DOO66" s="5"/>
      <c r="DOP66" s="5"/>
      <c r="DOQ66" s="5"/>
      <c r="DOR66" s="5"/>
      <c r="DOS66" s="5"/>
      <c r="DOT66" s="5"/>
      <c r="DOU66" s="5"/>
      <c r="DOV66" s="5"/>
      <c r="DOW66" s="5"/>
      <c r="DOX66" s="5"/>
      <c r="DOY66" s="5"/>
      <c r="DOZ66" s="5"/>
      <c r="DPA66" s="5"/>
      <c r="DPB66" s="5"/>
      <c r="DPC66" s="5"/>
      <c r="DPD66" s="5"/>
      <c r="DPE66" s="5"/>
      <c r="DPF66" s="5"/>
      <c r="DPG66" s="5"/>
      <c r="DPH66" s="5"/>
      <c r="DPI66" s="5"/>
      <c r="DPJ66" s="5"/>
      <c r="DPK66" s="5"/>
      <c r="DPL66" s="5"/>
      <c r="DPM66" s="5"/>
      <c r="DPN66" s="5"/>
      <c r="DPO66" s="5"/>
      <c r="DPP66" s="5"/>
      <c r="DPQ66" s="5"/>
      <c r="DPR66" s="5"/>
      <c r="DPS66" s="5"/>
      <c r="DPT66" s="5"/>
      <c r="DPU66" s="5"/>
      <c r="DPV66" s="5"/>
      <c r="DPW66" s="5"/>
      <c r="DPX66" s="5"/>
      <c r="DPY66" s="5"/>
      <c r="DPZ66" s="5"/>
      <c r="DQA66" s="5"/>
      <c r="DQB66" s="5"/>
      <c r="DQC66" s="5"/>
      <c r="DQD66" s="5"/>
      <c r="DQE66" s="5"/>
      <c r="DQF66" s="5"/>
      <c r="DQG66" s="5"/>
      <c r="DQH66" s="5"/>
      <c r="DQI66" s="5"/>
      <c r="DQJ66" s="5"/>
      <c r="DQK66" s="5"/>
      <c r="DQL66" s="5"/>
      <c r="DQM66" s="5"/>
      <c r="DQN66" s="5"/>
      <c r="DQO66" s="5"/>
      <c r="DQP66" s="5"/>
      <c r="DQQ66" s="5"/>
      <c r="DQR66" s="5"/>
      <c r="DQS66" s="5"/>
      <c r="DQT66" s="5"/>
      <c r="DQU66" s="5"/>
      <c r="DQV66" s="5"/>
      <c r="DQW66" s="5"/>
      <c r="DQX66" s="5"/>
      <c r="DQY66" s="5"/>
      <c r="DQZ66" s="5"/>
      <c r="DRA66" s="5"/>
      <c r="DRB66" s="5"/>
      <c r="DRC66" s="5"/>
      <c r="DRD66" s="5"/>
      <c r="DRE66" s="5"/>
      <c r="DRF66" s="5"/>
      <c r="DRG66" s="5"/>
      <c r="DRH66" s="5"/>
      <c r="DRI66" s="5"/>
      <c r="DRJ66" s="5"/>
      <c r="DRK66" s="5"/>
      <c r="DRL66" s="5"/>
      <c r="DRM66" s="5"/>
      <c r="DRN66" s="5"/>
      <c r="DRO66" s="5"/>
      <c r="DRP66" s="5"/>
      <c r="DRQ66" s="5"/>
      <c r="DRR66" s="5"/>
      <c r="DRS66" s="5"/>
      <c r="DRT66" s="5"/>
      <c r="DRU66" s="5"/>
      <c r="DRV66" s="5"/>
      <c r="DRW66" s="5"/>
      <c r="DRX66" s="5"/>
      <c r="DRY66" s="5"/>
      <c r="DRZ66" s="5"/>
      <c r="DSA66" s="5"/>
      <c r="DSB66" s="5"/>
      <c r="DSC66" s="5"/>
      <c r="DSD66" s="5"/>
      <c r="DSE66" s="5"/>
      <c r="DSF66" s="5"/>
      <c r="DSG66" s="5"/>
      <c r="DSH66" s="5"/>
      <c r="DSI66" s="5"/>
      <c r="DSJ66" s="5"/>
      <c r="DSK66" s="5"/>
      <c r="DSL66" s="5"/>
      <c r="DSM66" s="5"/>
      <c r="DSN66" s="5"/>
      <c r="DSO66" s="5"/>
      <c r="DSP66" s="5"/>
      <c r="DSQ66" s="5"/>
      <c r="DSR66" s="5"/>
      <c r="DSS66" s="5"/>
      <c r="DST66" s="5"/>
      <c r="DSU66" s="5"/>
      <c r="DSV66" s="5"/>
      <c r="DSW66" s="5"/>
      <c r="DSX66" s="5"/>
      <c r="DSY66" s="5"/>
      <c r="DSZ66" s="5"/>
      <c r="DTA66" s="5"/>
      <c r="DTB66" s="5"/>
      <c r="DTC66" s="5"/>
      <c r="DTD66" s="5"/>
      <c r="DTE66" s="5"/>
      <c r="DTF66" s="5"/>
      <c r="DTG66" s="5"/>
      <c r="DTH66" s="5"/>
      <c r="DTI66" s="5"/>
      <c r="DTJ66" s="5"/>
      <c r="DTK66" s="5"/>
      <c r="DTL66" s="5"/>
      <c r="DTM66" s="5"/>
      <c r="DTN66" s="5"/>
      <c r="DTO66" s="5"/>
      <c r="DTP66" s="5"/>
      <c r="DTQ66" s="5"/>
      <c r="DTR66" s="5"/>
      <c r="DTS66" s="5"/>
      <c r="DTT66" s="5"/>
      <c r="DTU66" s="5"/>
      <c r="DTV66" s="5"/>
      <c r="DTW66" s="5"/>
      <c r="DTX66" s="5"/>
      <c r="DTY66" s="5"/>
      <c r="DTZ66" s="5"/>
      <c r="DUA66" s="5"/>
      <c r="DUB66" s="5"/>
      <c r="DUC66" s="5"/>
      <c r="DUD66" s="5"/>
      <c r="DUE66" s="5"/>
      <c r="DUF66" s="5"/>
      <c r="DUG66" s="5"/>
      <c r="DUH66" s="5"/>
      <c r="DUI66" s="5"/>
      <c r="DUJ66" s="5"/>
      <c r="DUK66" s="5"/>
      <c r="DUL66" s="5"/>
      <c r="DUM66" s="5"/>
      <c r="DUN66" s="5"/>
      <c r="DUO66" s="5"/>
      <c r="DUP66" s="5"/>
      <c r="DUQ66" s="5"/>
      <c r="DUR66" s="5"/>
      <c r="DUS66" s="5"/>
      <c r="DUT66" s="5"/>
      <c r="DUU66" s="5"/>
      <c r="DUV66" s="5"/>
      <c r="DUW66" s="5"/>
      <c r="DUX66" s="5"/>
      <c r="DUY66" s="5"/>
      <c r="DUZ66" s="5"/>
      <c r="DVA66" s="5"/>
      <c r="DVB66" s="5"/>
      <c r="DVC66" s="5"/>
      <c r="DVD66" s="5"/>
      <c r="DVE66" s="5"/>
      <c r="DVF66" s="5"/>
      <c r="DVG66" s="5"/>
      <c r="DVH66" s="5"/>
      <c r="DVI66" s="5"/>
      <c r="DVJ66" s="5"/>
      <c r="DVK66" s="5"/>
      <c r="DVL66" s="5"/>
      <c r="DVM66" s="5"/>
      <c r="DVN66" s="5"/>
      <c r="DVO66" s="5"/>
      <c r="DVP66" s="5"/>
      <c r="DVQ66" s="5"/>
      <c r="DVR66" s="5"/>
      <c r="DVS66" s="5"/>
      <c r="DVT66" s="5"/>
      <c r="DVU66" s="5"/>
      <c r="DVV66" s="5"/>
      <c r="DVW66" s="5"/>
      <c r="DVX66" s="5"/>
      <c r="DVY66" s="5"/>
      <c r="DVZ66" s="5"/>
      <c r="DWA66" s="5"/>
      <c r="DWB66" s="5"/>
      <c r="DWC66" s="5"/>
      <c r="DWD66" s="5"/>
      <c r="DWE66" s="5"/>
      <c r="DWF66" s="5"/>
      <c r="DWG66" s="5"/>
      <c r="DWH66" s="5"/>
      <c r="DWI66" s="5"/>
      <c r="DWJ66" s="5"/>
      <c r="DWK66" s="5"/>
      <c r="DWL66" s="5"/>
      <c r="DWM66" s="5"/>
      <c r="DWN66" s="5"/>
      <c r="DWO66" s="5"/>
      <c r="DWP66" s="5"/>
      <c r="DWQ66" s="5"/>
      <c r="DWR66" s="5"/>
      <c r="DWS66" s="5"/>
      <c r="DWT66" s="5"/>
      <c r="DWU66" s="5"/>
      <c r="DWV66" s="5"/>
      <c r="DWW66" s="5"/>
      <c r="DWX66" s="5"/>
      <c r="DWY66" s="5"/>
      <c r="DWZ66" s="5"/>
      <c r="DXA66" s="5"/>
      <c r="DXB66" s="5"/>
      <c r="DXC66" s="5"/>
      <c r="DXD66" s="5"/>
      <c r="DXE66" s="5"/>
      <c r="DXF66" s="5"/>
      <c r="DXG66" s="5"/>
      <c r="DXH66" s="5"/>
      <c r="DXI66" s="5"/>
      <c r="DXJ66" s="5"/>
      <c r="DXK66" s="5"/>
      <c r="DXL66" s="5"/>
      <c r="DXM66" s="5"/>
      <c r="DXN66" s="5"/>
      <c r="DXO66" s="5"/>
      <c r="DXP66" s="5"/>
      <c r="DXQ66" s="5"/>
      <c r="DXR66" s="5"/>
      <c r="DXS66" s="5"/>
      <c r="DXT66" s="5"/>
      <c r="DXU66" s="5"/>
      <c r="DXV66" s="5"/>
      <c r="DXW66" s="5"/>
      <c r="DXX66" s="5"/>
      <c r="DXY66" s="5"/>
      <c r="DXZ66" s="5"/>
      <c r="DYA66" s="5"/>
      <c r="DYB66" s="5"/>
      <c r="DYC66" s="5"/>
      <c r="DYD66" s="5"/>
      <c r="DYE66" s="5"/>
      <c r="DYF66" s="5"/>
      <c r="DYG66" s="5"/>
      <c r="DYH66" s="5"/>
      <c r="DYI66" s="5"/>
      <c r="DYJ66" s="5"/>
      <c r="DYK66" s="5"/>
      <c r="DYL66" s="5"/>
      <c r="DYM66" s="5"/>
      <c r="DYN66" s="5"/>
      <c r="DYO66" s="5"/>
      <c r="DYP66" s="5"/>
      <c r="DYQ66" s="5"/>
      <c r="DYR66" s="5"/>
      <c r="DYS66" s="5"/>
      <c r="DYT66" s="5"/>
      <c r="DYU66" s="5"/>
      <c r="DYV66" s="5"/>
      <c r="DYW66" s="5"/>
      <c r="DYX66" s="5"/>
      <c r="DYY66" s="5"/>
      <c r="DYZ66" s="5"/>
      <c r="DZA66" s="5"/>
      <c r="DZB66" s="5"/>
      <c r="DZC66" s="5"/>
      <c r="DZD66" s="5"/>
      <c r="DZE66" s="5"/>
      <c r="DZF66" s="5"/>
      <c r="DZG66" s="5"/>
      <c r="DZH66" s="5"/>
      <c r="DZI66" s="5"/>
      <c r="DZJ66" s="5"/>
      <c r="DZK66" s="5"/>
      <c r="DZL66" s="5"/>
      <c r="DZM66" s="5"/>
      <c r="DZN66" s="5"/>
      <c r="DZO66" s="5"/>
      <c r="DZP66" s="5"/>
      <c r="DZQ66" s="5"/>
      <c r="DZR66" s="5"/>
      <c r="DZS66" s="5"/>
      <c r="DZT66" s="5"/>
      <c r="DZU66" s="5"/>
      <c r="DZV66" s="5"/>
      <c r="DZW66" s="5"/>
      <c r="DZX66" s="5"/>
      <c r="DZY66" s="5"/>
      <c r="DZZ66" s="5"/>
      <c r="EAA66" s="5"/>
      <c r="EAB66" s="5"/>
      <c r="EAC66" s="5"/>
      <c r="EAD66" s="5"/>
      <c r="EAE66" s="5"/>
      <c r="EAF66" s="5"/>
      <c r="EAG66" s="5"/>
      <c r="EAH66" s="5"/>
      <c r="EAI66" s="5"/>
      <c r="EAJ66" s="5"/>
      <c r="EAK66" s="5"/>
      <c r="EAL66" s="5"/>
      <c r="EAM66" s="5"/>
      <c r="EAN66" s="5"/>
      <c r="EAO66" s="5"/>
      <c r="EAP66" s="5"/>
      <c r="EAQ66" s="5"/>
      <c r="EAR66" s="5"/>
      <c r="EAS66" s="5"/>
      <c r="EAT66" s="5"/>
      <c r="EAU66" s="5"/>
      <c r="EAV66" s="5"/>
      <c r="EAW66" s="5"/>
      <c r="EAX66" s="5"/>
      <c r="EAY66" s="5"/>
      <c r="EAZ66" s="5"/>
      <c r="EBA66" s="5"/>
      <c r="EBB66" s="5"/>
      <c r="EBC66" s="5"/>
      <c r="EBD66" s="5"/>
      <c r="EBE66" s="5"/>
      <c r="EBF66" s="5"/>
      <c r="EBG66" s="5"/>
      <c r="EBH66" s="5"/>
      <c r="EBI66" s="5"/>
      <c r="EBJ66" s="5"/>
      <c r="EBK66" s="5"/>
      <c r="EBL66" s="5"/>
      <c r="EBM66" s="5"/>
      <c r="EBN66" s="5"/>
      <c r="EBO66" s="5"/>
      <c r="EBP66" s="5"/>
      <c r="EBQ66" s="5"/>
      <c r="EBR66" s="5"/>
      <c r="EBS66" s="5"/>
      <c r="EBT66" s="5"/>
      <c r="EBU66" s="5"/>
      <c r="EBV66" s="5"/>
      <c r="EBW66" s="5"/>
      <c r="EBX66" s="5"/>
      <c r="EBY66" s="5"/>
      <c r="EBZ66" s="5"/>
      <c r="ECA66" s="5"/>
      <c r="ECB66" s="5"/>
      <c r="ECC66" s="5"/>
      <c r="ECD66" s="5"/>
      <c r="ECE66" s="5"/>
      <c r="ECF66" s="5"/>
      <c r="ECG66" s="5"/>
      <c r="ECH66" s="5"/>
      <c r="ECI66" s="5"/>
      <c r="ECJ66" s="5"/>
      <c r="ECK66" s="5"/>
      <c r="ECL66" s="5"/>
      <c r="ECM66" s="5"/>
      <c r="ECN66" s="5"/>
      <c r="ECO66" s="5"/>
      <c r="ECP66" s="5"/>
      <c r="ECQ66" s="5"/>
      <c r="ECR66" s="5"/>
      <c r="ECS66" s="5"/>
      <c r="ECT66" s="5"/>
      <c r="ECU66" s="5"/>
      <c r="ECV66" s="5"/>
      <c r="ECW66" s="5"/>
      <c r="ECX66" s="5"/>
      <c r="ECY66" s="5"/>
      <c r="ECZ66" s="5"/>
      <c r="EDA66" s="5"/>
      <c r="EDB66" s="5"/>
      <c r="EDC66" s="5"/>
      <c r="EDD66" s="5"/>
      <c r="EDE66" s="5"/>
      <c r="EDF66" s="5"/>
      <c r="EDG66" s="5"/>
      <c r="EDH66" s="5"/>
      <c r="EDI66" s="5"/>
      <c r="EDJ66" s="5"/>
      <c r="EDK66" s="5"/>
      <c r="EDL66" s="5"/>
      <c r="EDM66" s="5"/>
      <c r="EDN66" s="5"/>
      <c r="EDO66" s="5"/>
      <c r="EDP66" s="5"/>
      <c r="EDQ66" s="5"/>
      <c r="EDR66" s="5"/>
      <c r="EDS66" s="5"/>
      <c r="EDT66" s="5"/>
      <c r="EDU66" s="5"/>
      <c r="EDV66" s="5"/>
      <c r="EDW66" s="5"/>
      <c r="EDX66" s="5"/>
      <c r="EDY66" s="5"/>
      <c r="EDZ66" s="5"/>
      <c r="EEA66" s="5"/>
      <c r="EEB66" s="5"/>
      <c r="EEC66" s="5"/>
      <c r="EED66" s="5"/>
      <c r="EEE66" s="5"/>
      <c r="EEF66" s="5"/>
      <c r="EEG66" s="5"/>
      <c r="EEH66" s="5"/>
      <c r="EEI66" s="5"/>
      <c r="EEJ66" s="5"/>
      <c r="EEK66" s="5"/>
      <c r="EEL66" s="5"/>
      <c r="EEM66" s="5"/>
      <c r="EEN66" s="5"/>
      <c r="EEO66" s="5"/>
      <c r="EEP66" s="5"/>
      <c r="EEQ66" s="5"/>
      <c r="EER66" s="5"/>
      <c r="EES66" s="5"/>
      <c r="EET66" s="5"/>
      <c r="EEU66" s="5"/>
      <c r="EEV66" s="5"/>
      <c r="EEW66" s="5"/>
      <c r="EEX66" s="5"/>
      <c r="EEY66" s="5"/>
      <c r="EEZ66" s="5"/>
      <c r="EFA66" s="5"/>
      <c r="EFB66" s="5"/>
      <c r="EFC66" s="5"/>
      <c r="EFD66" s="5"/>
      <c r="EFE66" s="5"/>
      <c r="EFF66" s="5"/>
      <c r="EFG66" s="5"/>
      <c r="EFH66" s="5"/>
      <c r="EFI66" s="5"/>
      <c r="EFJ66" s="5"/>
      <c r="EFK66" s="5"/>
      <c r="EFL66" s="5"/>
      <c r="EFM66" s="5"/>
      <c r="EFN66" s="5"/>
      <c r="EFO66" s="5"/>
      <c r="EFP66" s="5"/>
      <c r="EFQ66" s="5"/>
      <c r="EFR66" s="5"/>
      <c r="EFS66" s="5"/>
      <c r="EFT66" s="5"/>
      <c r="EFU66" s="5"/>
      <c r="EFV66" s="5"/>
      <c r="EFW66" s="5"/>
      <c r="EFX66" s="5"/>
      <c r="EFY66" s="5"/>
      <c r="EFZ66" s="5"/>
      <c r="EGA66" s="5"/>
      <c r="EGB66" s="5"/>
      <c r="EGC66" s="5"/>
      <c r="EGD66" s="5"/>
      <c r="EGE66" s="5"/>
      <c r="EGF66" s="5"/>
      <c r="EGG66" s="5"/>
      <c r="EGH66" s="5"/>
      <c r="EGI66" s="5"/>
      <c r="EGJ66" s="5"/>
      <c r="EGK66" s="5"/>
      <c r="EGL66" s="5"/>
      <c r="EGM66" s="5"/>
      <c r="EGN66" s="5"/>
      <c r="EGO66" s="5"/>
      <c r="EGP66" s="5"/>
      <c r="EGQ66" s="5"/>
      <c r="EGR66" s="5"/>
      <c r="EGS66" s="5"/>
      <c r="EGT66" s="5"/>
      <c r="EGU66" s="5"/>
      <c r="EGV66" s="5"/>
      <c r="EGW66" s="5"/>
      <c r="EGX66" s="5"/>
      <c r="EGY66" s="5"/>
      <c r="EGZ66" s="5"/>
      <c r="EHA66" s="5"/>
      <c r="EHB66" s="5"/>
      <c r="EHC66" s="5"/>
      <c r="EHD66" s="5"/>
      <c r="EHE66" s="5"/>
      <c r="EHF66" s="5"/>
      <c r="EHG66" s="5"/>
      <c r="EHH66" s="5"/>
      <c r="EHI66" s="5"/>
      <c r="EHJ66" s="5"/>
      <c r="EHK66" s="5"/>
      <c r="EHL66" s="5"/>
      <c r="EHM66" s="5"/>
      <c r="EHN66" s="5"/>
      <c r="EHO66" s="5"/>
      <c r="EHP66" s="5"/>
      <c r="EHQ66" s="5"/>
      <c r="EHR66" s="5"/>
      <c r="EHS66" s="5"/>
      <c r="EHT66" s="5"/>
      <c r="EHU66" s="5"/>
      <c r="EHV66" s="5"/>
      <c r="EHW66" s="5"/>
      <c r="EHX66" s="5"/>
      <c r="EHY66" s="5"/>
      <c r="EHZ66" s="5"/>
      <c r="EIA66" s="5"/>
      <c r="EIB66" s="5"/>
      <c r="EIC66" s="5"/>
      <c r="EID66" s="5"/>
      <c r="EIE66" s="5"/>
      <c r="EIF66" s="5"/>
      <c r="EIG66" s="5"/>
      <c r="EIH66" s="5"/>
      <c r="EII66" s="5"/>
      <c r="EIJ66" s="5"/>
      <c r="EIK66" s="5"/>
      <c r="EIL66" s="5"/>
      <c r="EIM66" s="5"/>
      <c r="EIN66" s="5"/>
      <c r="EIO66" s="5"/>
      <c r="EIP66" s="5"/>
      <c r="EIQ66" s="5"/>
      <c r="EIR66" s="5"/>
      <c r="EIS66" s="5"/>
      <c r="EIT66" s="5"/>
      <c r="EIU66" s="5"/>
      <c r="EIV66" s="5"/>
      <c r="EIW66" s="5"/>
      <c r="EIX66" s="5"/>
      <c r="EIY66" s="5"/>
      <c r="EIZ66" s="5"/>
      <c r="EJA66" s="5"/>
      <c r="EJB66" s="5"/>
      <c r="EJC66" s="5"/>
      <c r="EJD66" s="5"/>
      <c r="EJE66" s="5"/>
      <c r="EJF66" s="5"/>
      <c r="EJG66" s="5"/>
      <c r="EJH66" s="5"/>
      <c r="EJI66" s="5"/>
      <c r="EJJ66" s="5"/>
      <c r="EJK66" s="5"/>
      <c r="EJL66" s="5"/>
      <c r="EJM66" s="5"/>
      <c r="EJN66" s="5"/>
      <c r="EJO66" s="5"/>
      <c r="EJP66" s="5"/>
      <c r="EJQ66" s="5"/>
      <c r="EJR66" s="5"/>
      <c r="EJS66" s="5"/>
      <c r="EJT66" s="5"/>
      <c r="EJU66" s="5"/>
      <c r="EJV66" s="5"/>
      <c r="EJW66" s="5"/>
      <c r="EJX66" s="5"/>
      <c r="EJY66" s="5"/>
      <c r="EJZ66" s="5"/>
      <c r="EKA66" s="5"/>
      <c r="EKB66" s="5"/>
      <c r="EKC66" s="5"/>
      <c r="EKD66" s="5"/>
      <c r="EKE66" s="5"/>
      <c r="EKF66" s="5"/>
      <c r="EKG66" s="5"/>
      <c r="EKH66" s="5"/>
      <c r="EKI66" s="5"/>
      <c r="EKJ66" s="5"/>
      <c r="EKK66" s="5"/>
      <c r="EKL66" s="5"/>
      <c r="EKM66" s="5"/>
      <c r="EKN66" s="5"/>
      <c r="EKO66" s="5"/>
      <c r="EKP66" s="5"/>
      <c r="EKQ66" s="5"/>
      <c r="EKR66" s="5"/>
      <c r="EKS66" s="5"/>
      <c r="EKT66" s="5"/>
      <c r="EKU66" s="5"/>
      <c r="EKV66" s="5"/>
      <c r="EKW66" s="5"/>
      <c r="EKX66" s="5"/>
      <c r="EKY66" s="5"/>
      <c r="EKZ66" s="5"/>
      <c r="ELA66" s="5"/>
      <c r="ELB66" s="5"/>
      <c r="ELC66" s="5"/>
      <c r="ELD66" s="5"/>
      <c r="ELE66" s="5"/>
      <c r="ELF66" s="5"/>
      <c r="ELG66" s="5"/>
      <c r="ELH66" s="5"/>
      <c r="ELI66" s="5"/>
      <c r="ELJ66" s="5"/>
      <c r="ELK66" s="5"/>
      <c r="ELL66" s="5"/>
      <c r="ELM66" s="5"/>
      <c r="ELN66" s="5"/>
      <c r="ELO66" s="5"/>
      <c r="ELP66" s="5"/>
      <c r="ELQ66" s="5"/>
      <c r="ELR66" s="5"/>
      <c r="ELS66" s="5"/>
      <c r="ELT66" s="5"/>
      <c r="ELU66" s="5"/>
      <c r="ELV66" s="5"/>
      <c r="ELW66" s="5"/>
      <c r="ELX66" s="5"/>
      <c r="ELY66" s="5"/>
      <c r="ELZ66" s="5"/>
      <c r="EMA66" s="5"/>
      <c r="EMB66" s="5"/>
      <c r="EMC66" s="5"/>
      <c r="EMD66" s="5"/>
      <c r="EME66" s="5"/>
      <c r="EMF66" s="5"/>
      <c r="EMG66" s="5"/>
      <c r="EMH66" s="5"/>
      <c r="EMI66" s="5"/>
      <c r="EMJ66" s="5"/>
      <c r="EMK66" s="5"/>
      <c r="EML66" s="5"/>
      <c r="EMM66" s="5"/>
      <c r="EMN66" s="5"/>
      <c r="EMO66" s="5"/>
      <c r="EMP66" s="5"/>
      <c r="EMQ66" s="5"/>
      <c r="EMR66" s="5"/>
      <c r="EMS66" s="5"/>
      <c r="EMT66" s="5"/>
      <c r="EMU66" s="5"/>
      <c r="EMV66" s="5"/>
      <c r="EMW66" s="5"/>
      <c r="EMX66" s="5"/>
      <c r="EMY66" s="5"/>
      <c r="EMZ66" s="5"/>
      <c r="ENA66" s="5"/>
      <c r="ENB66" s="5"/>
      <c r="ENC66" s="5"/>
      <c r="END66" s="5"/>
      <c r="ENE66" s="5"/>
      <c r="ENF66" s="5"/>
      <c r="ENG66" s="5"/>
      <c r="ENH66" s="5"/>
      <c r="ENI66" s="5"/>
      <c r="ENJ66" s="5"/>
      <c r="ENK66" s="5"/>
      <c r="ENL66" s="5"/>
      <c r="ENM66" s="5"/>
      <c r="ENN66" s="5"/>
      <c r="ENO66" s="5"/>
      <c r="ENP66" s="5"/>
      <c r="ENQ66" s="5"/>
      <c r="ENR66" s="5"/>
      <c r="ENS66" s="5"/>
      <c r="ENT66" s="5"/>
      <c r="ENU66" s="5"/>
      <c r="ENV66" s="5"/>
      <c r="ENW66" s="5"/>
      <c r="ENX66" s="5"/>
      <c r="ENY66" s="5"/>
      <c r="ENZ66" s="5"/>
      <c r="EOA66" s="5"/>
      <c r="EOB66" s="5"/>
      <c r="EOC66" s="5"/>
      <c r="EOD66" s="5"/>
      <c r="EOE66" s="5"/>
      <c r="EOF66" s="5"/>
      <c r="EOG66" s="5"/>
      <c r="EOH66" s="5"/>
      <c r="EOI66" s="5"/>
      <c r="EOJ66" s="5"/>
      <c r="EOK66" s="5"/>
      <c r="EOL66" s="5"/>
      <c r="EOM66" s="5"/>
      <c r="EON66" s="5"/>
      <c r="EOO66" s="5"/>
      <c r="EOP66" s="5"/>
      <c r="EOQ66" s="5"/>
      <c r="EOR66" s="5"/>
      <c r="EOS66" s="5"/>
      <c r="EOT66" s="5"/>
      <c r="EOU66" s="5"/>
      <c r="EOV66" s="5"/>
      <c r="EOW66" s="5"/>
      <c r="EOX66" s="5"/>
      <c r="EOY66" s="5"/>
      <c r="EOZ66" s="5"/>
      <c r="EPA66" s="5"/>
      <c r="EPB66" s="5"/>
      <c r="EPC66" s="5"/>
      <c r="EPD66" s="5"/>
      <c r="EPE66" s="5"/>
      <c r="EPF66" s="5"/>
      <c r="EPG66" s="5"/>
      <c r="EPH66" s="5"/>
      <c r="EPI66" s="5"/>
      <c r="EPJ66" s="5"/>
      <c r="EPK66" s="5"/>
      <c r="EPL66" s="5"/>
      <c r="EPM66" s="5"/>
      <c r="EPN66" s="5"/>
      <c r="EPO66" s="5"/>
      <c r="EPP66" s="5"/>
      <c r="EPQ66" s="5"/>
      <c r="EPR66" s="5"/>
      <c r="EPS66" s="5"/>
      <c r="EPT66" s="5"/>
      <c r="EPU66" s="5"/>
      <c r="EPV66" s="5"/>
      <c r="EPW66" s="5"/>
      <c r="EPX66" s="5"/>
      <c r="EPY66" s="5"/>
      <c r="EPZ66" s="5"/>
      <c r="EQA66" s="5"/>
      <c r="EQB66" s="5"/>
      <c r="EQC66" s="5"/>
      <c r="EQD66" s="5"/>
      <c r="EQE66" s="5"/>
      <c r="EQF66" s="5"/>
      <c r="EQG66" s="5"/>
      <c r="EQH66" s="5"/>
      <c r="EQI66" s="5"/>
      <c r="EQJ66" s="5"/>
      <c r="EQK66" s="5"/>
      <c r="EQL66" s="5"/>
      <c r="EQM66" s="5"/>
      <c r="EQN66" s="5"/>
      <c r="EQO66" s="5"/>
      <c r="EQP66" s="5"/>
      <c r="EQQ66" s="5"/>
      <c r="EQR66" s="5"/>
      <c r="EQS66" s="5"/>
      <c r="EQT66" s="5"/>
      <c r="EQU66" s="5"/>
      <c r="EQV66" s="5"/>
      <c r="EQW66" s="5"/>
      <c r="EQX66" s="5"/>
      <c r="EQY66" s="5"/>
      <c r="EQZ66" s="5"/>
      <c r="ERA66" s="5"/>
      <c r="ERB66" s="5"/>
      <c r="ERC66" s="5"/>
      <c r="ERD66" s="5"/>
      <c r="ERE66" s="5"/>
      <c r="ERF66" s="5"/>
      <c r="ERG66" s="5"/>
      <c r="ERH66" s="5"/>
      <c r="ERI66" s="5"/>
      <c r="ERJ66" s="5"/>
      <c r="ERK66" s="5"/>
      <c r="ERL66" s="5"/>
      <c r="ERM66" s="5"/>
      <c r="ERN66" s="5"/>
      <c r="ERO66" s="5"/>
      <c r="ERP66" s="5"/>
      <c r="ERQ66" s="5"/>
      <c r="ERR66" s="5"/>
      <c r="ERS66" s="5"/>
      <c r="ERT66" s="5"/>
      <c r="ERU66" s="5"/>
      <c r="ERV66" s="5"/>
      <c r="ERW66" s="5"/>
      <c r="ERX66" s="5"/>
      <c r="ERY66" s="5"/>
      <c r="ERZ66" s="5"/>
      <c r="ESA66" s="5"/>
      <c r="ESB66" s="5"/>
      <c r="ESC66" s="5"/>
      <c r="ESD66" s="5"/>
      <c r="ESE66" s="5"/>
      <c r="ESF66" s="5"/>
      <c r="ESG66" s="5"/>
      <c r="ESH66" s="5"/>
      <c r="ESI66" s="5"/>
      <c r="ESJ66" s="5"/>
      <c r="ESK66" s="5"/>
      <c r="ESL66" s="5"/>
      <c r="ESM66" s="5"/>
      <c r="ESN66" s="5"/>
      <c r="ESO66" s="5"/>
      <c r="ESP66" s="5"/>
      <c r="ESQ66" s="5"/>
      <c r="ESR66" s="5"/>
      <c r="ESS66" s="5"/>
      <c r="EST66" s="5"/>
      <c r="ESU66" s="5"/>
      <c r="ESV66" s="5"/>
      <c r="ESW66" s="5"/>
      <c r="ESX66" s="5"/>
      <c r="ESY66" s="5"/>
      <c r="ESZ66" s="5"/>
      <c r="ETA66" s="5"/>
      <c r="ETB66" s="5"/>
      <c r="ETC66" s="5"/>
      <c r="ETD66" s="5"/>
      <c r="ETE66" s="5"/>
      <c r="ETF66" s="5"/>
      <c r="ETG66" s="5"/>
      <c r="ETH66" s="5"/>
      <c r="ETI66" s="5"/>
      <c r="ETJ66" s="5"/>
      <c r="ETK66" s="5"/>
      <c r="ETL66" s="5"/>
      <c r="ETM66" s="5"/>
      <c r="ETN66" s="5"/>
      <c r="ETO66" s="5"/>
      <c r="ETP66" s="5"/>
      <c r="ETQ66" s="5"/>
      <c r="ETR66" s="5"/>
      <c r="ETS66" s="5"/>
      <c r="ETT66" s="5"/>
      <c r="ETU66" s="5"/>
      <c r="ETV66" s="5"/>
      <c r="ETW66" s="5"/>
      <c r="ETX66" s="5"/>
      <c r="ETY66" s="5"/>
      <c r="ETZ66" s="5"/>
      <c r="EUA66" s="5"/>
      <c r="EUB66" s="5"/>
      <c r="EUC66" s="5"/>
      <c r="EUD66" s="5"/>
      <c r="EUE66" s="5"/>
      <c r="EUF66" s="5"/>
      <c r="EUG66" s="5"/>
      <c r="EUH66" s="5"/>
      <c r="EUI66" s="5"/>
      <c r="EUJ66" s="5"/>
      <c r="EUK66" s="5"/>
      <c r="EUL66" s="5"/>
      <c r="EUM66" s="5"/>
      <c r="EUN66" s="5"/>
      <c r="EUO66" s="5"/>
      <c r="EUP66" s="5"/>
      <c r="EUQ66" s="5"/>
      <c r="EUR66" s="5"/>
      <c r="EUS66" s="5"/>
      <c r="EUT66" s="5"/>
      <c r="EUU66" s="5"/>
      <c r="EUV66" s="5"/>
      <c r="EUW66" s="5"/>
      <c r="EUX66" s="5"/>
      <c r="EUY66" s="5"/>
      <c r="EUZ66" s="5"/>
      <c r="EVA66" s="5"/>
      <c r="EVB66" s="5"/>
      <c r="EVC66" s="5"/>
      <c r="EVD66" s="5"/>
      <c r="EVE66" s="5"/>
      <c r="EVF66" s="5"/>
      <c r="EVG66" s="5"/>
      <c r="EVH66" s="5"/>
      <c r="EVI66" s="5"/>
      <c r="EVJ66" s="5"/>
      <c r="EVK66" s="5"/>
      <c r="EVL66" s="5"/>
      <c r="EVM66" s="5"/>
      <c r="EVN66" s="5"/>
      <c r="EVO66" s="5"/>
      <c r="EVP66" s="5"/>
      <c r="EVQ66" s="5"/>
      <c r="EVR66" s="5"/>
      <c r="EVS66" s="5"/>
      <c r="EVT66" s="5"/>
      <c r="EVU66" s="5"/>
      <c r="EVV66" s="5"/>
      <c r="EVW66" s="5"/>
      <c r="EVX66" s="5"/>
      <c r="EVY66" s="5"/>
      <c r="EVZ66" s="5"/>
      <c r="EWA66" s="5"/>
      <c r="EWB66" s="5"/>
      <c r="EWC66" s="5"/>
      <c r="EWD66" s="5"/>
      <c r="EWE66" s="5"/>
      <c r="EWF66" s="5"/>
      <c r="EWG66" s="5"/>
      <c r="EWH66" s="5"/>
      <c r="EWI66" s="5"/>
      <c r="EWJ66" s="5"/>
      <c r="EWK66" s="5"/>
      <c r="EWL66" s="5"/>
      <c r="EWM66" s="5"/>
      <c r="EWN66" s="5"/>
      <c r="EWO66" s="5"/>
      <c r="EWP66" s="5"/>
      <c r="EWQ66" s="5"/>
      <c r="EWR66" s="5"/>
      <c r="EWS66" s="5"/>
      <c r="EWT66" s="5"/>
      <c r="EWU66" s="5"/>
      <c r="EWV66" s="5"/>
      <c r="EWW66" s="5"/>
      <c r="EWX66" s="5"/>
      <c r="EWY66" s="5"/>
      <c r="EWZ66" s="5"/>
      <c r="EXA66" s="5"/>
      <c r="EXB66" s="5"/>
      <c r="EXC66" s="5"/>
      <c r="EXD66" s="5"/>
      <c r="EXE66" s="5"/>
      <c r="EXF66" s="5"/>
      <c r="EXG66" s="5"/>
      <c r="EXH66" s="5"/>
      <c r="EXI66" s="5"/>
      <c r="EXJ66" s="5"/>
      <c r="EXK66" s="5"/>
      <c r="EXL66" s="5"/>
      <c r="EXM66" s="5"/>
      <c r="EXN66" s="5"/>
      <c r="EXO66" s="5"/>
      <c r="EXP66" s="5"/>
      <c r="EXQ66" s="5"/>
      <c r="EXR66" s="5"/>
      <c r="EXS66" s="5"/>
      <c r="EXT66" s="5"/>
      <c r="EXU66" s="5"/>
      <c r="EXV66" s="5"/>
      <c r="EXW66" s="5"/>
      <c r="EXX66" s="5"/>
      <c r="EXY66" s="5"/>
      <c r="EXZ66" s="5"/>
      <c r="EYA66" s="5"/>
      <c r="EYB66" s="5"/>
      <c r="EYC66" s="5"/>
      <c r="EYD66" s="5"/>
      <c r="EYE66" s="5"/>
      <c r="EYF66" s="5"/>
      <c r="EYG66" s="5"/>
      <c r="EYH66" s="5"/>
      <c r="EYI66" s="5"/>
      <c r="EYJ66" s="5"/>
      <c r="EYK66" s="5"/>
      <c r="EYL66" s="5"/>
      <c r="EYM66" s="5"/>
      <c r="EYN66" s="5"/>
      <c r="EYO66" s="5"/>
      <c r="EYP66" s="5"/>
      <c r="EYQ66" s="5"/>
      <c r="EYR66" s="5"/>
      <c r="EYS66" s="5"/>
      <c r="EYT66" s="5"/>
      <c r="EYU66" s="5"/>
      <c r="EYV66" s="5"/>
      <c r="EYW66" s="5"/>
      <c r="EYX66" s="5"/>
      <c r="EYY66" s="5"/>
      <c r="EYZ66" s="5"/>
      <c r="EZA66" s="5"/>
      <c r="EZB66" s="5"/>
      <c r="EZC66" s="5"/>
      <c r="EZD66" s="5"/>
      <c r="EZE66" s="5"/>
      <c r="EZF66" s="5"/>
      <c r="EZG66" s="5"/>
      <c r="EZH66" s="5"/>
      <c r="EZI66" s="5"/>
      <c r="EZJ66" s="5"/>
      <c r="EZK66" s="5"/>
      <c r="EZL66" s="5"/>
      <c r="EZM66" s="5"/>
      <c r="EZN66" s="5"/>
      <c r="EZO66" s="5"/>
      <c r="EZP66" s="5"/>
      <c r="EZQ66" s="5"/>
      <c r="EZR66" s="5"/>
      <c r="EZS66" s="5"/>
      <c r="EZT66" s="5"/>
      <c r="EZU66" s="5"/>
      <c r="EZV66" s="5"/>
      <c r="EZW66" s="5"/>
      <c r="EZX66" s="5"/>
      <c r="EZY66" s="5"/>
      <c r="EZZ66" s="5"/>
      <c r="FAA66" s="5"/>
      <c r="FAB66" s="5"/>
      <c r="FAC66" s="5"/>
      <c r="FAD66" s="5"/>
      <c r="FAE66" s="5"/>
      <c r="FAF66" s="5"/>
      <c r="FAG66" s="5"/>
      <c r="FAH66" s="5"/>
      <c r="FAI66" s="5"/>
      <c r="FAJ66" s="5"/>
      <c r="FAK66" s="5"/>
      <c r="FAL66" s="5"/>
      <c r="FAM66" s="5"/>
      <c r="FAN66" s="5"/>
      <c r="FAO66" s="5"/>
      <c r="FAP66" s="5"/>
      <c r="FAQ66" s="5"/>
      <c r="FAR66" s="5"/>
      <c r="FAS66" s="5"/>
      <c r="FAT66" s="5"/>
      <c r="FAU66" s="5"/>
      <c r="FAV66" s="5"/>
      <c r="FAW66" s="5"/>
      <c r="FAX66" s="5"/>
      <c r="FAY66" s="5"/>
      <c r="FAZ66" s="5"/>
      <c r="FBA66" s="5"/>
      <c r="FBB66" s="5"/>
      <c r="FBC66" s="5"/>
      <c r="FBD66" s="5"/>
      <c r="FBE66" s="5"/>
      <c r="FBF66" s="5"/>
      <c r="FBG66" s="5"/>
      <c r="FBH66" s="5"/>
      <c r="FBI66" s="5"/>
      <c r="FBJ66" s="5"/>
      <c r="FBK66" s="5"/>
      <c r="FBL66" s="5"/>
      <c r="FBM66" s="5"/>
      <c r="FBN66" s="5"/>
      <c r="FBO66" s="5"/>
      <c r="FBP66" s="5"/>
      <c r="FBQ66" s="5"/>
      <c r="FBR66" s="5"/>
      <c r="FBS66" s="5"/>
      <c r="FBT66" s="5"/>
      <c r="FBU66" s="5"/>
      <c r="FBV66" s="5"/>
      <c r="FBW66" s="5"/>
      <c r="FBX66" s="5"/>
      <c r="FBY66" s="5"/>
      <c r="FBZ66" s="5"/>
      <c r="FCA66" s="5"/>
      <c r="FCB66" s="5"/>
      <c r="FCC66" s="5"/>
      <c r="FCD66" s="5"/>
      <c r="FCE66" s="5"/>
      <c r="FCF66" s="5"/>
      <c r="FCG66" s="5"/>
      <c r="FCH66" s="5"/>
      <c r="FCI66" s="5"/>
      <c r="FCJ66" s="5"/>
      <c r="FCK66" s="5"/>
      <c r="FCL66" s="5"/>
      <c r="FCM66" s="5"/>
      <c r="FCN66" s="5"/>
      <c r="FCO66" s="5"/>
      <c r="FCP66" s="5"/>
      <c r="FCQ66" s="5"/>
      <c r="FCR66" s="5"/>
      <c r="FCS66" s="5"/>
      <c r="FCT66" s="5"/>
      <c r="FCU66" s="5"/>
      <c r="FCV66" s="5"/>
      <c r="FCW66" s="5"/>
      <c r="FCX66" s="5"/>
      <c r="FCY66" s="5"/>
      <c r="FCZ66" s="5"/>
      <c r="FDA66" s="5"/>
      <c r="FDB66" s="5"/>
      <c r="FDC66" s="5"/>
      <c r="FDD66" s="5"/>
      <c r="FDE66" s="5"/>
      <c r="FDF66" s="5"/>
      <c r="FDG66" s="5"/>
      <c r="FDH66" s="5"/>
      <c r="FDI66" s="5"/>
      <c r="FDJ66" s="5"/>
      <c r="FDK66" s="5"/>
      <c r="FDL66" s="5"/>
      <c r="FDM66" s="5"/>
      <c r="FDN66" s="5"/>
      <c r="FDO66" s="5"/>
      <c r="FDP66" s="5"/>
      <c r="FDQ66" s="5"/>
      <c r="FDR66" s="5"/>
      <c r="FDS66" s="5"/>
      <c r="FDT66" s="5"/>
      <c r="FDU66" s="5"/>
      <c r="FDV66" s="5"/>
      <c r="FDW66" s="5"/>
      <c r="FDX66" s="5"/>
      <c r="FDY66" s="5"/>
      <c r="FDZ66" s="5"/>
      <c r="FEA66" s="5"/>
      <c r="FEB66" s="5"/>
      <c r="FEC66" s="5"/>
      <c r="FED66" s="5"/>
      <c r="FEE66" s="5"/>
      <c r="FEF66" s="5"/>
      <c r="FEG66" s="5"/>
      <c r="FEH66" s="5"/>
      <c r="FEI66" s="5"/>
      <c r="FEJ66" s="5"/>
      <c r="FEK66" s="5"/>
      <c r="FEL66" s="5"/>
      <c r="FEM66" s="5"/>
      <c r="FEN66" s="5"/>
      <c r="FEO66" s="5"/>
      <c r="FEP66" s="5"/>
      <c r="FEQ66" s="5"/>
      <c r="FER66" s="5"/>
      <c r="FES66" s="5"/>
      <c r="FET66" s="5"/>
      <c r="FEU66" s="5"/>
      <c r="FEV66" s="5"/>
      <c r="FEW66" s="5"/>
      <c r="FEX66" s="5"/>
      <c r="FEY66" s="5"/>
      <c r="FEZ66" s="5"/>
      <c r="FFA66" s="5"/>
      <c r="FFB66" s="5"/>
      <c r="FFC66" s="5"/>
      <c r="FFD66" s="5"/>
      <c r="FFE66" s="5"/>
      <c r="FFF66" s="5"/>
      <c r="FFG66" s="5"/>
      <c r="FFH66" s="5"/>
      <c r="FFI66" s="5"/>
      <c r="FFJ66" s="5"/>
      <c r="FFK66" s="5"/>
      <c r="FFL66" s="5"/>
      <c r="FFM66" s="5"/>
      <c r="FFN66" s="5"/>
      <c r="FFO66" s="5"/>
      <c r="FFP66" s="5"/>
      <c r="FFQ66" s="5"/>
      <c r="FFR66" s="5"/>
      <c r="FFS66" s="5"/>
      <c r="FFT66" s="5"/>
      <c r="FFU66" s="5"/>
      <c r="FFV66" s="5"/>
      <c r="FFW66" s="5"/>
      <c r="FFX66" s="5"/>
      <c r="FFY66" s="5"/>
      <c r="FFZ66" s="5"/>
      <c r="FGA66" s="5"/>
      <c r="FGB66" s="5"/>
      <c r="FGC66" s="5"/>
      <c r="FGD66" s="5"/>
      <c r="FGE66" s="5"/>
      <c r="FGF66" s="5"/>
      <c r="FGG66" s="5"/>
      <c r="FGH66" s="5"/>
      <c r="FGI66" s="5"/>
      <c r="FGJ66" s="5"/>
      <c r="FGK66" s="5"/>
      <c r="FGL66" s="5"/>
      <c r="FGM66" s="5"/>
      <c r="FGN66" s="5"/>
      <c r="FGO66" s="5"/>
      <c r="FGP66" s="5"/>
      <c r="FGQ66" s="5"/>
      <c r="FGR66" s="5"/>
      <c r="FGS66" s="5"/>
      <c r="FGT66" s="5"/>
      <c r="FGU66" s="5"/>
      <c r="FGV66" s="5"/>
      <c r="FGW66" s="5"/>
      <c r="FGX66" s="5"/>
      <c r="FGY66" s="5"/>
      <c r="FGZ66" s="5"/>
      <c r="FHA66" s="5"/>
      <c r="FHB66" s="5"/>
      <c r="FHC66" s="5"/>
      <c r="FHD66" s="5"/>
      <c r="FHE66" s="5"/>
      <c r="FHF66" s="5"/>
      <c r="FHG66" s="5"/>
      <c r="FHH66" s="5"/>
      <c r="FHI66" s="5"/>
      <c r="FHJ66" s="5"/>
      <c r="FHK66" s="5"/>
      <c r="FHL66" s="5"/>
      <c r="FHM66" s="5"/>
      <c r="FHN66" s="5"/>
      <c r="FHO66" s="5"/>
      <c r="FHP66" s="5"/>
      <c r="FHQ66" s="5"/>
      <c r="FHR66" s="5"/>
      <c r="FHS66" s="5"/>
      <c r="FHT66" s="5"/>
      <c r="FHU66" s="5"/>
      <c r="FHV66" s="5"/>
      <c r="FHW66" s="5"/>
      <c r="FHX66" s="5"/>
      <c r="FHY66" s="5"/>
      <c r="FHZ66" s="5"/>
      <c r="FIA66" s="5"/>
      <c r="FIB66" s="5"/>
      <c r="FIC66" s="5"/>
      <c r="FID66" s="5"/>
      <c r="FIE66" s="5"/>
      <c r="FIF66" s="5"/>
      <c r="FIG66" s="5"/>
      <c r="FIH66" s="5"/>
      <c r="FII66" s="5"/>
      <c r="FIJ66" s="5"/>
      <c r="FIK66" s="5"/>
      <c r="FIL66" s="5"/>
      <c r="FIM66" s="5"/>
      <c r="FIN66" s="5"/>
      <c r="FIO66" s="5"/>
      <c r="FIP66" s="5"/>
      <c r="FIQ66" s="5"/>
      <c r="FIR66" s="5"/>
      <c r="FIS66" s="5"/>
      <c r="FIT66" s="5"/>
      <c r="FIU66" s="5"/>
      <c r="FIV66" s="5"/>
      <c r="FIW66" s="5"/>
      <c r="FIX66" s="5"/>
      <c r="FIY66" s="5"/>
      <c r="FIZ66" s="5"/>
      <c r="FJA66" s="5"/>
      <c r="FJB66" s="5"/>
      <c r="FJC66" s="5"/>
      <c r="FJD66" s="5"/>
      <c r="FJE66" s="5"/>
      <c r="FJF66" s="5"/>
      <c r="FJG66" s="5"/>
      <c r="FJH66" s="5"/>
      <c r="FJI66" s="5"/>
      <c r="FJJ66" s="5"/>
      <c r="FJK66" s="5"/>
      <c r="FJL66" s="5"/>
      <c r="FJM66" s="5"/>
      <c r="FJN66" s="5"/>
      <c r="FJO66" s="5"/>
      <c r="FJP66" s="5"/>
      <c r="FJQ66" s="5"/>
      <c r="FJR66" s="5"/>
      <c r="FJS66" s="5"/>
      <c r="FJT66" s="5"/>
      <c r="FJU66" s="5"/>
      <c r="FJV66" s="5"/>
      <c r="FJW66" s="5"/>
      <c r="FJX66" s="5"/>
      <c r="FJY66" s="5"/>
      <c r="FJZ66" s="5"/>
      <c r="FKA66" s="5"/>
      <c r="FKB66" s="5"/>
      <c r="FKC66" s="5"/>
      <c r="FKD66" s="5"/>
      <c r="FKE66" s="5"/>
      <c r="FKF66" s="5"/>
      <c r="FKG66" s="5"/>
      <c r="FKH66" s="5"/>
      <c r="FKI66" s="5"/>
      <c r="FKJ66" s="5"/>
      <c r="FKK66" s="5"/>
      <c r="FKL66" s="5"/>
      <c r="FKM66" s="5"/>
      <c r="FKN66" s="5"/>
      <c r="FKO66" s="5"/>
      <c r="FKP66" s="5"/>
      <c r="FKQ66" s="5"/>
      <c r="FKR66" s="5"/>
      <c r="FKS66" s="5"/>
      <c r="FKT66" s="5"/>
      <c r="FKU66" s="5"/>
      <c r="FKV66" s="5"/>
      <c r="FKW66" s="5"/>
      <c r="FKX66" s="5"/>
      <c r="FKY66" s="5"/>
      <c r="FKZ66" s="5"/>
      <c r="FLA66" s="5"/>
      <c r="FLB66" s="5"/>
      <c r="FLC66" s="5"/>
      <c r="FLD66" s="5"/>
      <c r="FLE66" s="5"/>
      <c r="FLF66" s="5"/>
      <c r="FLG66" s="5"/>
      <c r="FLH66" s="5"/>
      <c r="FLI66" s="5"/>
      <c r="FLJ66" s="5"/>
      <c r="FLK66" s="5"/>
      <c r="FLL66" s="5"/>
      <c r="FLM66" s="5"/>
      <c r="FLN66" s="5"/>
      <c r="FLO66" s="5"/>
      <c r="FLP66" s="5"/>
      <c r="FLQ66" s="5"/>
      <c r="FLR66" s="5"/>
      <c r="FLS66" s="5"/>
      <c r="FLT66" s="5"/>
      <c r="FLU66" s="5"/>
      <c r="FLV66" s="5"/>
      <c r="FLW66" s="5"/>
      <c r="FLX66" s="5"/>
      <c r="FLY66" s="5"/>
      <c r="FLZ66" s="5"/>
      <c r="FMA66" s="5"/>
      <c r="FMB66" s="5"/>
      <c r="FMC66" s="5"/>
      <c r="FMD66" s="5"/>
      <c r="FME66" s="5"/>
      <c r="FMF66" s="5"/>
      <c r="FMG66" s="5"/>
      <c r="FMH66" s="5"/>
      <c r="FMI66" s="5"/>
      <c r="FMJ66" s="5"/>
      <c r="FMK66" s="5"/>
      <c r="FML66" s="5"/>
      <c r="FMM66" s="5"/>
      <c r="FMN66" s="5"/>
      <c r="FMO66" s="5"/>
      <c r="FMP66" s="5"/>
      <c r="FMQ66" s="5"/>
      <c r="FMR66" s="5"/>
      <c r="FMS66" s="5"/>
      <c r="FMT66" s="5"/>
      <c r="FMU66" s="5"/>
      <c r="FMV66" s="5"/>
      <c r="FMW66" s="5"/>
      <c r="FMX66" s="5"/>
      <c r="FMY66" s="5"/>
      <c r="FMZ66" s="5"/>
      <c r="FNA66" s="5"/>
      <c r="FNB66" s="5"/>
      <c r="FNC66" s="5"/>
      <c r="FND66" s="5"/>
      <c r="FNE66" s="5"/>
      <c r="FNF66" s="5"/>
      <c r="FNG66" s="5"/>
      <c r="FNH66" s="5"/>
      <c r="FNI66" s="5"/>
      <c r="FNJ66" s="5"/>
      <c r="FNK66" s="5"/>
      <c r="FNL66" s="5"/>
      <c r="FNM66" s="5"/>
      <c r="FNN66" s="5"/>
      <c r="FNO66" s="5"/>
      <c r="FNP66" s="5"/>
      <c r="FNQ66" s="5"/>
      <c r="FNR66" s="5"/>
      <c r="FNS66" s="5"/>
      <c r="FNT66" s="5"/>
      <c r="FNU66" s="5"/>
      <c r="FNV66" s="5"/>
      <c r="FNW66" s="5"/>
      <c r="FNX66" s="5"/>
      <c r="FNY66" s="5"/>
      <c r="FNZ66" s="5"/>
      <c r="FOA66" s="5"/>
      <c r="FOB66" s="5"/>
      <c r="FOC66" s="5"/>
      <c r="FOD66" s="5"/>
      <c r="FOE66" s="5"/>
      <c r="FOF66" s="5"/>
      <c r="FOG66" s="5"/>
      <c r="FOH66" s="5"/>
      <c r="FOI66" s="5"/>
      <c r="FOJ66" s="5"/>
      <c r="FOK66" s="5"/>
      <c r="FOL66" s="5"/>
      <c r="FOM66" s="5"/>
      <c r="FON66" s="5"/>
      <c r="FOO66" s="5"/>
      <c r="FOP66" s="5"/>
      <c r="FOQ66" s="5"/>
      <c r="FOR66" s="5"/>
      <c r="FOS66" s="5"/>
      <c r="FOT66" s="5"/>
      <c r="FOU66" s="5"/>
      <c r="FOV66" s="5"/>
      <c r="FOW66" s="5"/>
      <c r="FOX66" s="5"/>
      <c r="FOY66" s="5"/>
      <c r="FOZ66" s="5"/>
      <c r="FPA66" s="5"/>
      <c r="FPB66" s="5"/>
      <c r="FPC66" s="5"/>
      <c r="FPD66" s="5"/>
      <c r="FPE66" s="5"/>
      <c r="FPF66" s="5"/>
      <c r="FPG66" s="5"/>
      <c r="FPH66" s="5"/>
      <c r="FPI66" s="5"/>
      <c r="FPJ66" s="5"/>
      <c r="FPK66" s="5"/>
      <c r="FPL66" s="5"/>
      <c r="FPM66" s="5"/>
      <c r="FPN66" s="5"/>
      <c r="FPO66" s="5"/>
      <c r="FPP66" s="5"/>
      <c r="FPQ66" s="5"/>
      <c r="FPR66" s="5"/>
      <c r="FPS66" s="5"/>
      <c r="FPT66" s="5"/>
      <c r="FPU66" s="5"/>
      <c r="FPV66" s="5"/>
      <c r="FPW66" s="5"/>
      <c r="FPX66" s="5"/>
      <c r="FPY66" s="5"/>
      <c r="FPZ66" s="5"/>
      <c r="FQA66" s="5"/>
      <c r="FQB66" s="5"/>
      <c r="FQC66" s="5"/>
      <c r="FQD66" s="5"/>
      <c r="FQE66" s="5"/>
      <c r="FQF66" s="5"/>
      <c r="FQG66" s="5"/>
      <c r="FQH66" s="5"/>
      <c r="FQI66" s="5"/>
      <c r="FQJ66" s="5"/>
      <c r="FQK66" s="5"/>
      <c r="FQL66" s="5"/>
      <c r="FQM66" s="5"/>
      <c r="FQN66" s="5"/>
      <c r="FQO66" s="5"/>
      <c r="FQP66" s="5"/>
      <c r="FQQ66" s="5"/>
      <c r="FQR66" s="5"/>
      <c r="FQS66" s="5"/>
      <c r="FQT66" s="5"/>
      <c r="FQU66" s="5"/>
      <c r="FQV66" s="5"/>
      <c r="FQW66" s="5"/>
      <c r="FQX66" s="5"/>
      <c r="FQY66" s="5"/>
      <c r="FQZ66" s="5"/>
      <c r="FRA66" s="5"/>
      <c r="FRB66" s="5"/>
      <c r="FRC66" s="5"/>
      <c r="FRD66" s="5"/>
      <c r="FRE66" s="5"/>
      <c r="FRF66" s="5"/>
      <c r="FRG66" s="5"/>
      <c r="FRH66" s="5"/>
      <c r="FRI66" s="5"/>
      <c r="FRJ66" s="5"/>
      <c r="FRK66" s="5"/>
      <c r="FRL66" s="5"/>
      <c r="FRM66" s="5"/>
      <c r="FRN66" s="5"/>
      <c r="FRO66" s="5"/>
      <c r="FRP66" s="5"/>
      <c r="FRQ66" s="5"/>
      <c r="FRR66" s="5"/>
      <c r="FRS66" s="5"/>
      <c r="FRT66" s="5"/>
      <c r="FRU66" s="5"/>
      <c r="FRV66" s="5"/>
      <c r="FRW66" s="5"/>
      <c r="FRX66" s="5"/>
      <c r="FRY66" s="5"/>
      <c r="FRZ66" s="5"/>
      <c r="FSA66" s="5"/>
      <c r="FSB66" s="5"/>
      <c r="FSC66" s="5"/>
      <c r="FSD66" s="5"/>
      <c r="FSE66" s="5"/>
      <c r="FSF66" s="5"/>
      <c r="FSG66" s="5"/>
      <c r="FSH66" s="5"/>
      <c r="FSI66" s="5"/>
      <c r="FSJ66" s="5"/>
      <c r="FSK66" s="5"/>
      <c r="FSL66" s="5"/>
      <c r="FSM66" s="5"/>
      <c r="FSN66" s="5"/>
      <c r="FSO66" s="5"/>
      <c r="FSP66" s="5"/>
      <c r="FSQ66" s="5"/>
      <c r="FSR66" s="5"/>
      <c r="FSS66" s="5"/>
      <c r="FST66" s="5"/>
      <c r="FSU66" s="5"/>
      <c r="FSV66" s="5"/>
      <c r="FSW66" s="5"/>
      <c r="FSX66" s="5"/>
      <c r="FSY66" s="5"/>
      <c r="FSZ66" s="5"/>
      <c r="FTA66" s="5"/>
      <c r="FTB66" s="5"/>
      <c r="FTC66" s="5"/>
      <c r="FTD66" s="5"/>
      <c r="FTE66" s="5"/>
      <c r="FTF66" s="5"/>
      <c r="FTG66" s="5"/>
      <c r="FTH66" s="5"/>
      <c r="FTI66" s="5"/>
      <c r="FTJ66" s="5"/>
      <c r="FTK66" s="5"/>
      <c r="FTL66" s="5"/>
      <c r="FTM66" s="5"/>
      <c r="FTN66" s="5"/>
      <c r="FTO66" s="5"/>
      <c r="FTP66" s="5"/>
      <c r="FTQ66" s="5"/>
      <c r="FTR66" s="5"/>
      <c r="FTS66" s="5"/>
      <c r="FTT66" s="5"/>
      <c r="FTU66" s="5"/>
      <c r="FTV66" s="5"/>
      <c r="FTW66" s="5"/>
      <c r="FTX66" s="5"/>
      <c r="FTY66" s="5"/>
      <c r="FTZ66" s="5"/>
      <c r="FUA66" s="5"/>
      <c r="FUB66" s="5"/>
      <c r="FUC66" s="5"/>
      <c r="FUD66" s="5"/>
      <c r="FUE66" s="5"/>
      <c r="FUF66" s="5"/>
      <c r="FUG66" s="5"/>
      <c r="FUH66" s="5"/>
      <c r="FUI66" s="5"/>
      <c r="FUJ66" s="5"/>
      <c r="FUK66" s="5"/>
      <c r="FUL66" s="5"/>
      <c r="FUM66" s="5"/>
      <c r="FUN66" s="5"/>
      <c r="FUO66" s="5"/>
      <c r="FUP66" s="5"/>
      <c r="FUQ66" s="5"/>
      <c r="FUR66" s="5"/>
      <c r="FUS66" s="5"/>
      <c r="FUT66" s="5"/>
      <c r="FUU66" s="5"/>
      <c r="FUV66" s="5"/>
      <c r="FUW66" s="5"/>
      <c r="FUX66" s="5"/>
      <c r="FUY66" s="5"/>
      <c r="FUZ66" s="5"/>
      <c r="FVA66" s="5"/>
      <c r="FVB66" s="5"/>
      <c r="FVC66" s="5"/>
      <c r="FVD66" s="5"/>
      <c r="FVE66" s="5"/>
      <c r="FVF66" s="5"/>
      <c r="FVG66" s="5"/>
      <c r="FVH66" s="5"/>
      <c r="FVI66" s="5"/>
      <c r="FVJ66" s="5"/>
      <c r="FVK66" s="5"/>
      <c r="FVL66" s="5"/>
      <c r="FVM66" s="5"/>
      <c r="FVN66" s="5"/>
      <c r="FVO66" s="5"/>
      <c r="FVP66" s="5"/>
      <c r="FVQ66" s="5"/>
      <c r="FVR66" s="5"/>
      <c r="FVS66" s="5"/>
      <c r="FVT66" s="5"/>
      <c r="FVU66" s="5"/>
      <c r="FVV66" s="5"/>
      <c r="FVW66" s="5"/>
      <c r="FVX66" s="5"/>
      <c r="FVY66" s="5"/>
      <c r="FVZ66" s="5"/>
      <c r="FWA66" s="5"/>
      <c r="FWB66" s="5"/>
      <c r="FWC66" s="5"/>
      <c r="FWD66" s="5"/>
      <c r="FWE66" s="5"/>
      <c r="FWF66" s="5"/>
      <c r="FWG66" s="5"/>
      <c r="FWH66" s="5"/>
      <c r="FWI66" s="5"/>
      <c r="FWJ66" s="5"/>
      <c r="FWK66" s="5"/>
      <c r="FWL66" s="5"/>
      <c r="FWM66" s="5"/>
      <c r="FWN66" s="5"/>
      <c r="FWO66" s="5"/>
      <c r="FWP66" s="5"/>
      <c r="FWQ66" s="5"/>
      <c r="FWR66" s="5"/>
      <c r="FWS66" s="5"/>
      <c r="FWT66" s="5"/>
      <c r="FWU66" s="5"/>
      <c r="FWV66" s="5"/>
      <c r="FWW66" s="5"/>
      <c r="FWX66" s="5"/>
      <c r="FWY66" s="5"/>
      <c r="FWZ66" s="5"/>
      <c r="FXA66" s="5"/>
      <c r="FXB66" s="5"/>
      <c r="FXC66" s="5"/>
      <c r="FXD66" s="5"/>
      <c r="FXE66" s="5"/>
      <c r="FXF66" s="5"/>
      <c r="FXG66" s="5"/>
      <c r="FXH66" s="5"/>
      <c r="FXI66" s="5"/>
      <c r="FXJ66" s="5"/>
      <c r="FXK66" s="5"/>
      <c r="FXL66" s="5"/>
      <c r="FXM66" s="5"/>
      <c r="FXN66" s="5"/>
      <c r="FXO66" s="5"/>
      <c r="FXP66" s="5"/>
      <c r="FXQ66" s="5"/>
      <c r="FXR66" s="5"/>
      <c r="FXS66" s="5"/>
      <c r="FXT66" s="5"/>
      <c r="FXU66" s="5"/>
      <c r="FXV66" s="5"/>
      <c r="FXW66" s="5"/>
      <c r="FXX66" s="5"/>
      <c r="FXY66" s="5"/>
      <c r="FXZ66" s="5"/>
      <c r="FYA66" s="5"/>
      <c r="FYB66" s="5"/>
      <c r="FYC66" s="5"/>
      <c r="FYD66" s="5"/>
      <c r="FYE66" s="5"/>
      <c r="FYF66" s="5"/>
      <c r="FYG66" s="5"/>
      <c r="FYH66" s="5"/>
      <c r="FYI66" s="5"/>
      <c r="FYJ66" s="5"/>
      <c r="FYK66" s="5"/>
      <c r="FYL66" s="5"/>
      <c r="FYM66" s="5"/>
      <c r="FYN66" s="5"/>
      <c r="FYO66" s="5"/>
      <c r="FYP66" s="5"/>
      <c r="FYQ66" s="5"/>
      <c r="FYR66" s="5"/>
      <c r="FYS66" s="5"/>
      <c r="FYT66" s="5"/>
      <c r="FYU66" s="5"/>
      <c r="FYV66" s="5"/>
      <c r="FYW66" s="5"/>
      <c r="FYX66" s="5"/>
      <c r="FYY66" s="5"/>
      <c r="FYZ66" s="5"/>
      <c r="FZA66" s="5"/>
      <c r="FZB66" s="5"/>
      <c r="FZC66" s="5"/>
      <c r="FZD66" s="5"/>
      <c r="FZE66" s="5"/>
      <c r="FZF66" s="5"/>
      <c r="FZG66" s="5"/>
      <c r="FZH66" s="5"/>
      <c r="FZI66" s="5"/>
      <c r="FZJ66" s="5"/>
      <c r="FZK66" s="5"/>
      <c r="FZL66" s="5"/>
      <c r="FZM66" s="5"/>
      <c r="FZN66" s="5"/>
      <c r="FZO66" s="5"/>
      <c r="FZP66" s="5"/>
      <c r="FZQ66" s="5"/>
      <c r="FZR66" s="5"/>
      <c r="FZS66" s="5"/>
      <c r="FZT66" s="5"/>
      <c r="FZU66" s="5"/>
      <c r="FZV66" s="5"/>
      <c r="FZW66" s="5"/>
      <c r="FZX66" s="5"/>
      <c r="FZY66" s="5"/>
      <c r="FZZ66" s="5"/>
      <c r="GAA66" s="5"/>
      <c r="GAB66" s="5"/>
      <c r="GAC66" s="5"/>
      <c r="GAD66" s="5"/>
      <c r="GAE66" s="5"/>
      <c r="GAF66" s="5"/>
      <c r="GAG66" s="5"/>
      <c r="GAH66" s="5"/>
      <c r="GAI66" s="5"/>
      <c r="GAJ66" s="5"/>
      <c r="GAK66" s="5"/>
      <c r="GAL66" s="5"/>
      <c r="GAM66" s="5"/>
      <c r="GAN66" s="5"/>
      <c r="GAO66" s="5"/>
      <c r="GAP66" s="5"/>
      <c r="GAQ66" s="5"/>
      <c r="GAR66" s="5"/>
      <c r="GAS66" s="5"/>
      <c r="GAT66" s="5"/>
      <c r="GAU66" s="5"/>
      <c r="GAV66" s="5"/>
      <c r="GAW66" s="5"/>
      <c r="GAX66" s="5"/>
      <c r="GAY66" s="5"/>
      <c r="GAZ66" s="5"/>
      <c r="GBA66" s="5"/>
      <c r="GBB66" s="5"/>
      <c r="GBC66" s="5"/>
      <c r="GBD66" s="5"/>
      <c r="GBE66" s="5"/>
      <c r="GBF66" s="5"/>
      <c r="GBG66" s="5"/>
      <c r="GBH66" s="5"/>
      <c r="GBI66" s="5"/>
      <c r="GBJ66" s="5"/>
      <c r="GBK66" s="5"/>
      <c r="GBL66" s="5"/>
      <c r="GBM66" s="5"/>
      <c r="GBN66" s="5"/>
      <c r="GBO66" s="5"/>
      <c r="GBP66" s="5"/>
      <c r="GBQ66" s="5"/>
      <c r="GBR66" s="5"/>
      <c r="GBS66" s="5"/>
      <c r="GBT66" s="5"/>
      <c r="GBU66" s="5"/>
      <c r="GBV66" s="5"/>
      <c r="GBW66" s="5"/>
      <c r="GBX66" s="5"/>
      <c r="GBY66" s="5"/>
      <c r="GBZ66" s="5"/>
      <c r="GCA66" s="5"/>
      <c r="GCB66" s="5"/>
      <c r="GCC66" s="5"/>
      <c r="GCD66" s="5"/>
      <c r="GCE66" s="5"/>
      <c r="GCF66" s="5"/>
      <c r="GCG66" s="5"/>
      <c r="GCH66" s="5"/>
      <c r="GCI66" s="5"/>
      <c r="GCJ66" s="5"/>
      <c r="GCK66" s="5"/>
      <c r="GCL66" s="5"/>
      <c r="GCM66" s="5"/>
      <c r="GCN66" s="5"/>
      <c r="GCO66" s="5"/>
      <c r="GCP66" s="5"/>
      <c r="GCQ66" s="5"/>
      <c r="GCR66" s="5"/>
      <c r="GCS66" s="5"/>
      <c r="GCT66" s="5"/>
      <c r="GCU66" s="5"/>
      <c r="GCV66" s="5"/>
      <c r="GCW66" s="5"/>
      <c r="GCX66" s="5"/>
      <c r="GCY66" s="5"/>
      <c r="GCZ66" s="5"/>
      <c r="GDA66" s="5"/>
      <c r="GDB66" s="5"/>
      <c r="GDC66" s="5"/>
      <c r="GDD66" s="5"/>
      <c r="GDE66" s="5"/>
      <c r="GDF66" s="5"/>
      <c r="GDG66" s="5"/>
      <c r="GDH66" s="5"/>
      <c r="GDI66" s="5"/>
      <c r="GDJ66" s="5"/>
      <c r="GDK66" s="5"/>
      <c r="GDL66" s="5"/>
      <c r="GDM66" s="5"/>
      <c r="GDN66" s="5"/>
      <c r="GDO66" s="5"/>
      <c r="GDP66" s="5"/>
      <c r="GDQ66" s="5"/>
      <c r="GDR66" s="5"/>
      <c r="GDS66" s="5"/>
      <c r="GDT66" s="5"/>
      <c r="GDU66" s="5"/>
      <c r="GDV66" s="5"/>
      <c r="GDW66" s="5"/>
      <c r="GDX66" s="5"/>
      <c r="GDY66" s="5"/>
      <c r="GDZ66" s="5"/>
      <c r="GEA66" s="5"/>
      <c r="GEB66" s="5"/>
      <c r="GEC66" s="5"/>
      <c r="GED66" s="5"/>
      <c r="GEE66" s="5"/>
      <c r="GEF66" s="5"/>
      <c r="GEG66" s="5"/>
      <c r="GEH66" s="5"/>
      <c r="GEI66" s="5"/>
      <c r="GEJ66" s="5"/>
      <c r="GEK66" s="5"/>
      <c r="GEL66" s="5"/>
      <c r="GEM66" s="5"/>
      <c r="GEN66" s="5"/>
      <c r="GEO66" s="5"/>
      <c r="GEP66" s="5"/>
      <c r="GEQ66" s="5"/>
      <c r="GER66" s="5"/>
      <c r="GES66" s="5"/>
      <c r="GET66" s="5"/>
      <c r="GEU66" s="5"/>
      <c r="GEV66" s="5"/>
      <c r="GEW66" s="5"/>
      <c r="GEX66" s="5"/>
      <c r="GEY66" s="5"/>
      <c r="GEZ66" s="5"/>
      <c r="GFA66" s="5"/>
      <c r="GFB66" s="5"/>
      <c r="GFC66" s="5"/>
      <c r="GFD66" s="5"/>
      <c r="GFE66" s="5"/>
      <c r="GFF66" s="5"/>
      <c r="GFG66" s="5"/>
      <c r="GFH66" s="5"/>
      <c r="GFI66" s="5"/>
      <c r="GFJ66" s="5"/>
      <c r="GFK66" s="5"/>
      <c r="GFL66" s="5"/>
      <c r="GFM66" s="5"/>
      <c r="GFN66" s="5"/>
      <c r="GFO66" s="5"/>
      <c r="GFP66" s="5"/>
      <c r="GFQ66" s="5"/>
      <c r="GFR66" s="5"/>
      <c r="GFS66" s="5"/>
      <c r="GFT66" s="5"/>
      <c r="GFU66" s="5"/>
      <c r="GFV66" s="5"/>
      <c r="GFW66" s="5"/>
      <c r="GFX66" s="5"/>
      <c r="GFY66" s="5"/>
      <c r="GFZ66" s="5"/>
      <c r="GGA66" s="5"/>
      <c r="GGB66" s="5"/>
      <c r="GGC66" s="5"/>
      <c r="GGD66" s="5"/>
      <c r="GGE66" s="5"/>
      <c r="GGF66" s="5"/>
      <c r="GGG66" s="5"/>
      <c r="GGH66" s="5"/>
      <c r="GGI66" s="5"/>
      <c r="GGJ66" s="5"/>
      <c r="GGK66" s="5"/>
      <c r="GGL66" s="5"/>
      <c r="GGM66" s="5"/>
      <c r="GGN66" s="5"/>
      <c r="GGO66" s="5"/>
      <c r="GGP66" s="5"/>
      <c r="GGQ66" s="5"/>
      <c r="GGR66" s="5"/>
      <c r="GGS66" s="5"/>
      <c r="GGT66" s="5"/>
      <c r="GGU66" s="5"/>
      <c r="GGV66" s="5"/>
      <c r="GGW66" s="5"/>
      <c r="GGX66" s="5"/>
      <c r="GGY66" s="5"/>
      <c r="GGZ66" s="5"/>
      <c r="GHA66" s="5"/>
      <c r="GHB66" s="5"/>
      <c r="GHC66" s="5"/>
      <c r="GHD66" s="5"/>
      <c r="GHE66" s="5"/>
      <c r="GHF66" s="5"/>
      <c r="GHG66" s="5"/>
      <c r="GHH66" s="5"/>
      <c r="GHI66" s="5"/>
      <c r="GHJ66" s="5"/>
      <c r="GHK66" s="5"/>
      <c r="GHL66" s="5"/>
      <c r="GHM66" s="5"/>
      <c r="GHN66" s="5"/>
      <c r="GHO66" s="5"/>
      <c r="GHP66" s="5"/>
      <c r="GHQ66" s="5"/>
      <c r="GHR66" s="5"/>
      <c r="GHS66" s="5"/>
      <c r="GHT66" s="5"/>
      <c r="GHU66" s="5"/>
      <c r="GHV66" s="5"/>
      <c r="GHW66" s="5"/>
      <c r="GHX66" s="5"/>
      <c r="GHY66" s="5"/>
      <c r="GHZ66" s="5"/>
      <c r="GIA66" s="5"/>
      <c r="GIB66" s="5"/>
      <c r="GIC66" s="5"/>
      <c r="GID66" s="5"/>
      <c r="GIE66" s="5"/>
      <c r="GIF66" s="5"/>
      <c r="GIG66" s="5"/>
      <c r="GIH66" s="5"/>
      <c r="GII66" s="5"/>
      <c r="GIJ66" s="5"/>
      <c r="GIK66" s="5"/>
      <c r="GIL66" s="5"/>
      <c r="GIM66" s="5"/>
      <c r="GIN66" s="5"/>
      <c r="GIO66" s="5"/>
      <c r="GIP66" s="5"/>
      <c r="GIQ66" s="5"/>
      <c r="GIR66" s="5"/>
      <c r="GIS66" s="5"/>
      <c r="GIT66" s="5"/>
      <c r="GIU66" s="5"/>
      <c r="GIV66" s="5"/>
      <c r="GIW66" s="5"/>
      <c r="GIX66" s="5"/>
      <c r="GIY66" s="5"/>
      <c r="GIZ66" s="5"/>
      <c r="GJA66" s="5"/>
      <c r="GJB66" s="5"/>
      <c r="GJC66" s="5"/>
      <c r="GJD66" s="5"/>
      <c r="GJE66" s="5"/>
      <c r="GJF66" s="5"/>
      <c r="GJG66" s="5"/>
      <c r="GJH66" s="5"/>
      <c r="GJI66" s="5"/>
      <c r="GJJ66" s="5"/>
      <c r="GJK66" s="5"/>
      <c r="GJL66" s="5"/>
      <c r="GJM66" s="5"/>
      <c r="GJN66" s="5"/>
      <c r="GJO66" s="5"/>
      <c r="GJP66" s="5"/>
      <c r="GJQ66" s="5"/>
      <c r="GJR66" s="5"/>
      <c r="GJS66" s="5"/>
      <c r="GJT66" s="5"/>
      <c r="GJU66" s="5"/>
      <c r="GJV66" s="5"/>
      <c r="GJW66" s="5"/>
      <c r="GJX66" s="5"/>
      <c r="GJY66" s="5"/>
      <c r="GJZ66" s="5"/>
      <c r="GKA66" s="5"/>
      <c r="GKB66" s="5"/>
      <c r="GKC66" s="5"/>
      <c r="GKD66" s="5"/>
      <c r="GKE66" s="5"/>
      <c r="GKF66" s="5"/>
      <c r="GKG66" s="5"/>
      <c r="GKH66" s="5"/>
      <c r="GKI66" s="5"/>
      <c r="GKJ66" s="5"/>
      <c r="GKK66" s="5"/>
      <c r="GKL66" s="5"/>
      <c r="GKM66" s="5"/>
      <c r="GKN66" s="5"/>
      <c r="GKO66" s="5"/>
      <c r="GKP66" s="5"/>
      <c r="GKQ66" s="5"/>
      <c r="GKR66" s="5"/>
      <c r="GKS66" s="5"/>
      <c r="GKT66" s="5"/>
      <c r="GKU66" s="5"/>
      <c r="GKV66" s="5"/>
      <c r="GKW66" s="5"/>
      <c r="GKX66" s="5"/>
      <c r="GKY66" s="5"/>
      <c r="GKZ66" s="5"/>
      <c r="GLA66" s="5"/>
      <c r="GLB66" s="5"/>
      <c r="GLC66" s="5"/>
      <c r="GLD66" s="5"/>
      <c r="GLE66" s="5"/>
      <c r="GLF66" s="5"/>
      <c r="GLG66" s="5"/>
      <c r="GLH66" s="5"/>
      <c r="GLI66" s="5"/>
      <c r="GLJ66" s="5"/>
      <c r="GLK66" s="5"/>
      <c r="GLL66" s="5"/>
      <c r="GLM66" s="5"/>
      <c r="GLN66" s="5"/>
      <c r="GLO66" s="5"/>
      <c r="GLP66" s="5"/>
      <c r="GLQ66" s="5"/>
      <c r="GLR66" s="5"/>
      <c r="GLS66" s="5"/>
      <c r="GLT66" s="5"/>
      <c r="GLU66" s="5"/>
      <c r="GLV66" s="5"/>
      <c r="GLW66" s="5"/>
      <c r="GLX66" s="5"/>
      <c r="GLY66" s="5"/>
      <c r="GLZ66" s="5"/>
      <c r="GMA66" s="5"/>
      <c r="GMB66" s="5"/>
      <c r="GMC66" s="5"/>
      <c r="GMD66" s="5"/>
      <c r="GME66" s="5"/>
      <c r="GMF66" s="5"/>
      <c r="GMG66" s="5"/>
      <c r="GMH66" s="5"/>
      <c r="GMI66" s="5"/>
      <c r="GMJ66" s="5"/>
      <c r="GMK66" s="5"/>
      <c r="GML66" s="5"/>
      <c r="GMM66" s="5"/>
      <c r="GMN66" s="5"/>
      <c r="GMO66" s="5"/>
      <c r="GMP66" s="5"/>
      <c r="GMQ66" s="5"/>
      <c r="GMR66" s="5"/>
      <c r="GMS66" s="5"/>
      <c r="GMT66" s="5"/>
      <c r="GMU66" s="5"/>
      <c r="GMV66" s="5"/>
      <c r="GMW66" s="5"/>
      <c r="GMX66" s="5"/>
      <c r="GMY66" s="5"/>
      <c r="GMZ66" s="5"/>
      <c r="GNA66" s="5"/>
      <c r="GNB66" s="5"/>
      <c r="GNC66" s="5"/>
      <c r="GND66" s="5"/>
      <c r="GNE66" s="5"/>
      <c r="GNF66" s="5"/>
      <c r="GNG66" s="5"/>
      <c r="GNH66" s="5"/>
      <c r="GNI66" s="5"/>
      <c r="GNJ66" s="5"/>
      <c r="GNK66" s="5"/>
      <c r="GNL66" s="5"/>
      <c r="GNM66" s="5"/>
      <c r="GNN66" s="5"/>
      <c r="GNO66" s="5"/>
      <c r="GNP66" s="5"/>
      <c r="GNQ66" s="5"/>
      <c r="GNR66" s="5"/>
      <c r="GNS66" s="5"/>
      <c r="GNT66" s="5"/>
      <c r="GNU66" s="5"/>
      <c r="GNV66" s="5"/>
      <c r="GNW66" s="5"/>
      <c r="GNX66" s="5"/>
      <c r="GNY66" s="5"/>
      <c r="GNZ66" s="5"/>
      <c r="GOA66" s="5"/>
      <c r="GOB66" s="5"/>
      <c r="GOC66" s="5"/>
      <c r="GOD66" s="5"/>
      <c r="GOE66" s="5"/>
      <c r="GOF66" s="5"/>
      <c r="GOG66" s="5"/>
      <c r="GOH66" s="5"/>
      <c r="GOI66" s="5"/>
      <c r="GOJ66" s="5"/>
      <c r="GOK66" s="5"/>
      <c r="GOL66" s="5"/>
      <c r="GOM66" s="5"/>
      <c r="GON66" s="5"/>
      <c r="GOO66" s="5"/>
      <c r="GOP66" s="5"/>
      <c r="GOQ66" s="5"/>
      <c r="GOR66" s="5"/>
      <c r="GOS66" s="5"/>
      <c r="GOT66" s="5"/>
      <c r="GOU66" s="5"/>
      <c r="GOV66" s="5"/>
      <c r="GOW66" s="5"/>
      <c r="GOX66" s="5"/>
      <c r="GOY66" s="5"/>
      <c r="GOZ66" s="5"/>
      <c r="GPA66" s="5"/>
      <c r="GPB66" s="5"/>
      <c r="GPC66" s="5"/>
      <c r="GPD66" s="5"/>
      <c r="GPE66" s="5"/>
      <c r="GPF66" s="5"/>
      <c r="GPG66" s="5"/>
      <c r="GPH66" s="5"/>
      <c r="GPI66" s="5"/>
      <c r="GPJ66" s="5"/>
      <c r="GPK66" s="5"/>
      <c r="GPL66" s="5"/>
      <c r="GPM66" s="5"/>
      <c r="GPN66" s="5"/>
      <c r="GPO66" s="5"/>
      <c r="GPP66" s="5"/>
      <c r="GPQ66" s="5"/>
      <c r="GPR66" s="5"/>
      <c r="GPS66" s="5"/>
      <c r="GPT66" s="5"/>
      <c r="GPU66" s="5"/>
      <c r="GPV66" s="5"/>
      <c r="GPW66" s="5"/>
      <c r="GPX66" s="5"/>
      <c r="GPY66" s="5"/>
      <c r="GPZ66" s="5"/>
      <c r="GQA66" s="5"/>
      <c r="GQB66" s="5"/>
      <c r="GQC66" s="5"/>
      <c r="GQD66" s="5"/>
      <c r="GQE66" s="5"/>
      <c r="GQF66" s="5"/>
      <c r="GQG66" s="5"/>
      <c r="GQH66" s="5"/>
      <c r="GQI66" s="5"/>
      <c r="GQJ66" s="5"/>
      <c r="GQK66" s="5"/>
      <c r="GQL66" s="5"/>
      <c r="GQM66" s="5"/>
      <c r="GQN66" s="5"/>
      <c r="GQO66" s="5"/>
      <c r="GQP66" s="5"/>
      <c r="GQQ66" s="5"/>
      <c r="GQR66" s="5"/>
      <c r="GQS66" s="5"/>
      <c r="GQT66" s="5"/>
      <c r="GQU66" s="5"/>
      <c r="GQV66" s="5"/>
      <c r="GQW66" s="5"/>
      <c r="GQX66" s="5"/>
      <c r="GQY66" s="5"/>
      <c r="GQZ66" s="5"/>
      <c r="GRA66" s="5"/>
      <c r="GRB66" s="5"/>
      <c r="GRC66" s="5"/>
      <c r="GRD66" s="5"/>
      <c r="GRE66" s="5"/>
      <c r="GRF66" s="5"/>
      <c r="GRG66" s="5"/>
      <c r="GRH66" s="5"/>
      <c r="GRI66" s="5"/>
      <c r="GRJ66" s="5"/>
      <c r="GRK66" s="5"/>
      <c r="GRL66" s="5"/>
      <c r="GRM66" s="5"/>
      <c r="GRN66" s="5"/>
      <c r="GRO66" s="5"/>
      <c r="GRP66" s="5"/>
      <c r="GRQ66" s="5"/>
      <c r="GRR66" s="5"/>
      <c r="GRS66" s="5"/>
      <c r="GRT66" s="5"/>
      <c r="GRU66" s="5"/>
      <c r="GRV66" s="5"/>
      <c r="GRW66" s="5"/>
      <c r="GRX66" s="5"/>
      <c r="GRY66" s="5"/>
      <c r="GRZ66" s="5"/>
      <c r="GSA66" s="5"/>
      <c r="GSB66" s="5"/>
      <c r="GSC66" s="5"/>
      <c r="GSD66" s="5"/>
      <c r="GSE66" s="5"/>
      <c r="GSF66" s="5"/>
      <c r="GSG66" s="5"/>
      <c r="GSH66" s="5"/>
      <c r="GSI66" s="5"/>
      <c r="GSJ66" s="5"/>
      <c r="GSK66" s="5"/>
      <c r="GSL66" s="5"/>
      <c r="GSM66" s="5"/>
      <c r="GSN66" s="5"/>
      <c r="GSO66" s="5"/>
      <c r="GSP66" s="5"/>
      <c r="GSQ66" s="5"/>
      <c r="GSR66" s="5"/>
      <c r="GSS66" s="5"/>
      <c r="GST66" s="5"/>
      <c r="GSU66" s="5"/>
      <c r="GSV66" s="5"/>
      <c r="GSW66" s="5"/>
      <c r="GSX66" s="5"/>
      <c r="GSY66" s="5"/>
      <c r="GSZ66" s="5"/>
      <c r="GTA66" s="5"/>
      <c r="GTB66" s="5"/>
      <c r="GTC66" s="5"/>
      <c r="GTD66" s="5"/>
      <c r="GTE66" s="5"/>
      <c r="GTF66" s="5"/>
      <c r="GTG66" s="5"/>
      <c r="GTH66" s="5"/>
      <c r="GTI66" s="5"/>
      <c r="GTJ66" s="5"/>
      <c r="GTK66" s="5"/>
      <c r="GTL66" s="5"/>
      <c r="GTM66" s="5"/>
      <c r="GTN66" s="5"/>
      <c r="GTO66" s="5"/>
      <c r="GTP66" s="5"/>
      <c r="GTQ66" s="5"/>
      <c r="GTR66" s="5"/>
      <c r="GTS66" s="5"/>
      <c r="GTT66" s="5"/>
      <c r="GTU66" s="5"/>
      <c r="GTV66" s="5"/>
      <c r="GTW66" s="5"/>
      <c r="GTX66" s="5"/>
      <c r="GTY66" s="5"/>
      <c r="GTZ66" s="5"/>
      <c r="GUA66" s="5"/>
      <c r="GUB66" s="5"/>
      <c r="GUC66" s="5"/>
      <c r="GUD66" s="5"/>
      <c r="GUE66" s="5"/>
      <c r="GUF66" s="5"/>
      <c r="GUG66" s="5"/>
      <c r="GUH66" s="5"/>
      <c r="GUI66" s="5"/>
      <c r="GUJ66" s="5"/>
      <c r="GUK66" s="5"/>
      <c r="GUL66" s="5"/>
      <c r="GUM66" s="5"/>
      <c r="GUN66" s="5"/>
      <c r="GUO66" s="5"/>
      <c r="GUP66" s="5"/>
      <c r="GUQ66" s="5"/>
      <c r="GUR66" s="5"/>
      <c r="GUS66" s="5"/>
      <c r="GUT66" s="5"/>
      <c r="GUU66" s="5"/>
      <c r="GUV66" s="5"/>
      <c r="GUW66" s="5"/>
      <c r="GUX66" s="5"/>
      <c r="GUY66" s="5"/>
      <c r="GUZ66" s="5"/>
      <c r="GVA66" s="5"/>
      <c r="GVB66" s="5"/>
      <c r="GVC66" s="5"/>
      <c r="GVD66" s="5"/>
      <c r="GVE66" s="5"/>
      <c r="GVF66" s="5"/>
      <c r="GVG66" s="5"/>
      <c r="GVH66" s="5"/>
      <c r="GVI66" s="5"/>
      <c r="GVJ66" s="5"/>
      <c r="GVK66" s="5"/>
      <c r="GVL66" s="5"/>
      <c r="GVM66" s="5"/>
      <c r="GVN66" s="5"/>
      <c r="GVO66" s="5"/>
      <c r="GVP66" s="5"/>
      <c r="GVQ66" s="5"/>
      <c r="GVR66" s="5"/>
      <c r="GVS66" s="5"/>
      <c r="GVT66" s="5"/>
      <c r="GVU66" s="5"/>
      <c r="GVV66" s="5"/>
      <c r="GVW66" s="5"/>
      <c r="GVX66" s="5"/>
      <c r="GVY66" s="5"/>
      <c r="GVZ66" s="5"/>
      <c r="GWA66" s="5"/>
      <c r="GWB66" s="5"/>
      <c r="GWC66" s="5"/>
      <c r="GWD66" s="5"/>
      <c r="GWE66" s="5"/>
      <c r="GWF66" s="5"/>
      <c r="GWG66" s="5"/>
      <c r="GWH66" s="5"/>
      <c r="GWI66" s="5"/>
      <c r="GWJ66" s="5"/>
      <c r="GWK66" s="5"/>
      <c r="GWL66" s="5"/>
      <c r="GWM66" s="5"/>
      <c r="GWN66" s="5"/>
      <c r="GWO66" s="5"/>
      <c r="GWP66" s="5"/>
      <c r="GWQ66" s="5"/>
      <c r="GWR66" s="5"/>
      <c r="GWS66" s="5"/>
      <c r="GWT66" s="5"/>
      <c r="GWU66" s="5"/>
      <c r="GWV66" s="5"/>
      <c r="GWW66" s="5"/>
      <c r="GWX66" s="5"/>
      <c r="GWY66" s="5"/>
      <c r="GWZ66" s="5"/>
      <c r="GXA66" s="5"/>
      <c r="GXB66" s="5"/>
      <c r="GXC66" s="5"/>
      <c r="GXD66" s="5"/>
      <c r="GXE66" s="5"/>
      <c r="GXF66" s="5"/>
      <c r="GXG66" s="5"/>
      <c r="GXH66" s="5"/>
      <c r="GXI66" s="5"/>
      <c r="GXJ66" s="5"/>
      <c r="GXK66" s="5"/>
      <c r="GXL66" s="5"/>
      <c r="GXM66" s="5"/>
      <c r="GXN66" s="5"/>
      <c r="GXO66" s="5"/>
      <c r="GXP66" s="5"/>
      <c r="GXQ66" s="5"/>
      <c r="GXR66" s="5"/>
      <c r="GXS66" s="5"/>
      <c r="GXT66" s="5"/>
      <c r="GXU66" s="5"/>
      <c r="GXV66" s="5"/>
      <c r="GXW66" s="5"/>
      <c r="GXX66" s="5"/>
      <c r="GXY66" s="5"/>
      <c r="GXZ66" s="5"/>
      <c r="GYA66" s="5"/>
      <c r="GYB66" s="5"/>
      <c r="GYC66" s="5"/>
      <c r="GYD66" s="5"/>
      <c r="GYE66" s="5"/>
      <c r="GYF66" s="5"/>
      <c r="GYG66" s="5"/>
      <c r="GYH66" s="5"/>
      <c r="GYI66" s="5"/>
      <c r="GYJ66" s="5"/>
      <c r="GYK66" s="5"/>
      <c r="GYL66" s="5"/>
      <c r="GYM66" s="5"/>
      <c r="GYN66" s="5"/>
      <c r="GYO66" s="5"/>
      <c r="GYP66" s="5"/>
      <c r="GYQ66" s="5"/>
      <c r="GYR66" s="5"/>
      <c r="GYS66" s="5"/>
      <c r="GYT66" s="5"/>
      <c r="GYU66" s="5"/>
      <c r="GYV66" s="5"/>
      <c r="GYW66" s="5"/>
      <c r="GYX66" s="5"/>
      <c r="GYY66" s="5"/>
      <c r="GYZ66" s="5"/>
      <c r="GZA66" s="5"/>
      <c r="GZB66" s="5"/>
      <c r="GZC66" s="5"/>
      <c r="GZD66" s="5"/>
      <c r="GZE66" s="5"/>
      <c r="GZF66" s="5"/>
      <c r="GZG66" s="5"/>
      <c r="GZH66" s="5"/>
      <c r="GZI66" s="5"/>
      <c r="GZJ66" s="5"/>
      <c r="GZK66" s="5"/>
      <c r="GZL66" s="5"/>
      <c r="GZM66" s="5"/>
      <c r="GZN66" s="5"/>
      <c r="GZO66" s="5"/>
      <c r="GZP66" s="5"/>
      <c r="GZQ66" s="5"/>
      <c r="GZR66" s="5"/>
      <c r="GZS66" s="5"/>
      <c r="GZT66" s="5"/>
      <c r="GZU66" s="5"/>
      <c r="GZV66" s="5"/>
      <c r="GZW66" s="5"/>
      <c r="GZX66" s="5"/>
      <c r="GZY66" s="5"/>
      <c r="GZZ66" s="5"/>
      <c r="HAA66" s="5"/>
      <c r="HAB66" s="5"/>
      <c r="HAC66" s="5"/>
      <c r="HAD66" s="5"/>
      <c r="HAE66" s="5"/>
      <c r="HAF66" s="5"/>
      <c r="HAG66" s="5"/>
      <c r="HAH66" s="5"/>
      <c r="HAI66" s="5"/>
      <c r="HAJ66" s="5"/>
      <c r="HAK66" s="5"/>
      <c r="HAL66" s="5"/>
      <c r="HAM66" s="5"/>
      <c r="HAN66" s="5"/>
      <c r="HAO66" s="5"/>
      <c r="HAP66" s="5"/>
      <c r="HAQ66" s="5"/>
      <c r="HAR66" s="5"/>
      <c r="HAS66" s="5"/>
      <c r="HAT66" s="5"/>
      <c r="HAU66" s="5"/>
      <c r="HAV66" s="5"/>
      <c r="HAW66" s="5"/>
      <c r="HAX66" s="5"/>
      <c r="HAY66" s="5"/>
      <c r="HAZ66" s="5"/>
      <c r="HBA66" s="5"/>
      <c r="HBB66" s="5"/>
      <c r="HBC66" s="5"/>
      <c r="HBD66" s="5"/>
      <c r="HBE66" s="5"/>
      <c r="HBF66" s="5"/>
      <c r="HBG66" s="5"/>
      <c r="HBH66" s="5"/>
      <c r="HBI66" s="5"/>
      <c r="HBJ66" s="5"/>
      <c r="HBK66" s="5"/>
      <c r="HBL66" s="5"/>
      <c r="HBM66" s="5"/>
      <c r="HBN66" s="5"/>
      <c r="HBO66" s="5"/>
      <c r="HBP66" s="5"/>
      <c r="HBQ66" s="5"/>
      <c r="HBR66" s="5"/>
      <c r="HBS66" s="5"/>
      <c r="HBT66" s="5"/>
      <c r="HBU66" s="5"/>
      <c r="HBV66" s="5"/>
      <c r="HBW66" s="5"/>
      <c r="HBX66" s="5"/>
      <c r="HBY66" s="5"/>
      <c r="HBZ66" s="5"/>
      <c r="HCA66" s="5"/>
      <c r="HCB66" s="5"/>
      <c r="HCC66" s="5"/>
      <c r="HCD66" s="5"/>
      <c r="HCE66" s="5"/>
      <c r="HCF66" s="5"/>
      <c r="HCG66" s="5"/>
      <c r="HCH66" s="5"/>
      <c r="HCI66" s="5"/>
      <c r="HCJ66" s="5"/>
      <c r="HCK66" s="5"/>
      <c r="HCL66" s="5"/>
      <c r="HCM66" s="5"/>
      <c r="HCN66" s="5"/>
      <c r="HCO66" s="5"/>
      <c r="HCP66" s="5"/>
      <c r="HCQ66" s="5"/>
      <c r="HCR66" s="5"/>
      <c r="HCS66" s="5"/>
      <c r="HCT66" s="5"/>
      <c r="HCU66" s="5"/>
      <c r="HCV66" s="5"/>
      <c r="HCW66" s="5"/>
      <c r="HCX66" s="5"/>
      <c r="HCY66" s="5"/>
      <c r="HCZ66" s="5"/>
      <c r="HDA66" s="5"/>
      <c r="HDB66" s="5"/>
      <c r="HDC66" s="5"/>
      <c r="HDD66" s="5"/>
      <c r="HDE66" s="5"/>
      <c r="HDF66" s="5"/>
      <c r="HDG66" s="5"/>
      <c r="HDH66" s="5"/>
      <c r="HDI66" s="5"/>
      <c r="HDJ66" s="5"/>
      <c r="HDK66" s="5"/>
      <c r="HDL66" s="5"/>
      <c r="HDM66" s="5"/>
      <c r="HDN66" s="5"/>
      <c r="HDO66" s="5"/>
      <c r="HDP66" s="5"/>
      <c r="HDQ66" s="5"/>
      <c r="HDR66" s="5"/>
      <c r="HDS66" s="5"/>
      <c r="HDT66" s="5"/>
      <c r="HDU66" s="5"/>
      <c r="HDV66" s="5"/>
      <c r="HDW66" s="5"/>
      <c r="HDX66" s="5"/>
      <c r="HDY66" s="5"/>
      <c r="HDZ66" s="5"/>
      <c r="HEA66" s="5"/>
      <c r="HEB66" s="5"/>
      <c r="HEC66" s="5"/>
      <c r="HED66" s="5"/>
      <c r="HEE66" s="5"/>
      <c r="HEF66" s="5"/>
      <c r="HEG66" s="5"/>
      <c r="HEH66" s="5"/>
      <c r="HEI66" s="5"/>
      <c r="HEJ66" s="5"/>
      <c r="HEK66" s="5"/>
      <c r="HEL66" s="5"/>
      <c r="HEM66" s="5"/>
      <c r="HEN66" s="5"/>
      <c r="HEO66" s="5"/>
      <c r="HEP66" s="5"/>
      <c r="HEQ66" s="5"/>
      <c r="HER66" s="5"/>
      <c r="HES66" s="5"/>
      <c r="HET66" s="5"/>
      <c r="HEU66" s="5"/>
      <c r="HEV66" s="5"/>
      <c r="HEW66" s="5"/>
      <c r="HEX66" s="5"/>
      <c r="HEY66" s="5"/>
      <c r="HEZ66" s="5"/>
      <c r="HFA66" s="5"/>
      <c r="HFB66" s="5"/>
      <c r="HFC66" s="5"/>
      <c r="HFD66" s="5"/>
      <c r="HFE66" s="5"/>
      <c r="HFF66" s="5"/>
      <c r="HFG66" s="5"/>
      <c r="HFH66" s="5"/>
      <c r="HFI66" s="5"/>
      <c r="HFJ66" s="5"/>
      <c r="HFK66" s="5"/>
      <c r="HFL66" s="5"/>
      <c r="HFM66" s="5"/>
      <c r="HFN66" s="5"/>
      <c r="HFO66" s="5"/>
      <c r="HFP66" s="5"/>
      <c r="HFQ66" s="5"/>
      <c r="HFR66" s="5"/>
      <c r="HFS66" s="5"/>
      <c r="HFT66" s="5"/>
      <c r="HFU66" s="5"/>
      <c r="HFV66" s="5"/>
      <c r="HFW66" s="5"/>
      <c r="HFX66" s="5"/>
      <c r="HFY66" s="5"/>
      <c r="HFZ66" s="5"/>
      <c r="HGA66" s="5"/>
      <c r="HGB66" s="5"/>
      <c r="HGC66" s="5"/>
      <c r="HGD66" s="5"/>
      <c r="HGE66" s="5"/>
      <c r="HGF66" s="5"/>
      <c r="HGG66" s="5"/>
      <c r="HGH66" s="5"/>
      <c r="HGI66" s="5"/>
      <c r="HGJ66" s="5"/>
      <c r="HGK66" s="5"/>
      <c r="HGL66" s="5"/>
      <c r="HGM66" s="5"/>
      <c r="HGN66" s="5"/>
      <c r="HGO66" s="5"/>
      <c r="HGP66" s="5"/>
      <c r="HGQ66" s="5"/>
      <c r="HGR66" s="5"/>
      <c r="HGS66" s="5"/>
      <c r="HGT66" s="5"/>
      <c r="HGU66" s="5"/>
      <c r="HGV66" s="5"/>
      <c r="HGW66" s="5"/>
      <c r="HGX66" s="5"/>
      <c r="HGY66" s="5"/>
      <c r="HGZ66" s="5"/>
      <c r="HHA66" s="5"/>
      <c r="HHB66" s="5"/>
      <c r="HHC66" s="5"/>
      <c r="HHD66" s="5"/>
      <c r="HHE66" s="5"/>
      <c r="HHF66" s="5"/>
      <c r="HHG66" s="5"/>
      <c r="HHH66" s="5"/>
      <c r="HHI66" s="5"/>
      <c r="HHJ66" s="5"/>
      <c r="HHK66" s="5"/>
      <c r="HHL66" s="5"/>
      <c r="HHM66" s="5"/>
      <c r="HHN66" s="5"/>
      <c r="HHO66" s="5"/>
      <c r="HHP66" s="5"/>
      <c r="HHQ66" s="5"/>
      <c r="HHR66" s="5"/>
      <c r="HHS66" s="5"/>
      <c r="HHT66" s="5"/>
      <c r="HHU66" s="5"/>
      <c r="HHV66" s="5"/>
      <c r="HHW66" s="5"/>
      <c r="HHX66" s="5"/>
      <c r="HHY66" s="5"/>
      <c r="HHZ66" s="5"/>
      <c r="HIA66" s="5"/>
      <c r="HIB66" s="5"/>
      <c r="HIC66" s="5"/>
      <c r="HID66" s="5"/>
      <c r="HIE66" s="5"/>
      <c r="HIF66" s="5"/>
      <c r="HIG66" s="5"/>
      <c r="HIH66" s="5"/>
      <c r="HII66" s="5"/>
      <c r="HIJ66" s="5"/>
      <c r="HIK66" s="5"/>
      <c r="HIL66" s="5"/>
      <c r="HIM66" s="5"/>
      <c r="HIN66" s="5"/>
      <c r="HIO66" s="5"/>
      <c r="HIP66" s="5"/>
      <c r="HIQ66" s="5"/>
      <c r="HIR66" s="5"/>
      <c r="HIS66" s="5"/>
      <c r="HIT66" s="5"/>
      <c r="HIU66" s="5"/>
      <c r="HIV66" s="5"/>
      <c r="HIW66" s="5"/>
      <c r="HIX66" s="5"/>
      <c r="HIY66" s="5"/>
      <c r="HIZ66" s="5"/>
      <c r="HJA66" s="5"/>
      <c r="HJB66" s="5"/>
      <c r="HJC66" s="5"/>
      <c r="HJD66" s="5"/>
      <c r="HJE66" s="5"/>
      <c r="HJF66" s="5"/>
      <c r="HJG66" s="5"/>
      <c r="HJH66" s="5"/>
      <c r="HJI66" s="5"/>
      <c r="HJJ66" s="5"/>
      <c r="HJK66" s="5"/>
      <c r="HJL66" s="5"/>
      <c r="HJM66" s="5"/>
      <c r="HJN66" s="5"/>
      <c r="HJO66" s="5"/>
      <c r="HJP66" s="5"/>
      <c r="HJQ66" s="5"/>
      <c r="HJR66" s="5"/>
      <c r="HJS66" s="5"/>
      <c r="HJT66" s="5"/>
      <c r="HJU66" s="5"/>
      <c r="HJV66" s="5"/>
      <c r="HJW66" s="5"/>
      <c r="HJX66" s="5"/>
      <c r="HJY66" s="5"/>
      <c r="HJZ66" s="5"/>
      <c r="HKA66" s="5"/>
      <c r="HKB66" s="5"/>
      <c r="HKC66" s="5"/>
      <c r="HKD66" s="5"/>
      <c r="HKE66" s="5"/>
      <c r="HKF66" s="5"/>
      <c r="HKG66" s="5"/>
      <c r="HKH66" s="5"/>
      <c r="HKI66" s="5"/>
      <c r="HKJ66" s="5"/>
      <c r="HKK66" s="5"/>
      <c r="HKL66" s="5"/>
      <c r="HKM66" s="5"/>
      <c r="HKN66" s="5"/>
      <c r="HKO66" s="5"/>
      <c r="HKP66" s="5"/>
      <c r="HKQ66" s="5"/>
      <c r="HKR66" s="5"/>
      <c r="HKS66" s="5"/>
      <c r="HKT66" s="5"/>
      <c r="HKU66" s="5"/>
      <c r="HKV66" s="5"/>
      <c r="HKW66" s="5"/>
      <c r="HKX66" s="5"/>
      <c r="HKY66" s="5"/>
      <c r="HKZ66" s="5"/>
      <c r="HLA66" s="5"/>
      <c r="HLB66" s="5"/>
      <c r="HLC66" s="5"/>
      <c r="HLD66" s="5"/>
      <c r="HLE66" s="5"/>
      <c r="HLF66" s="5"/>
      <c r="HLG66" s="5"/>
      <c r="HLH66" s="5"/>
      <c r="HLI66" s="5"/>
      <c r="HLJ66" s="5"/>
      <c r="HLK66" s="5"/>
      <c r="HLL66" s="5"/>
      <c r="HLM66" s="5"/>
      <c r="HLN66" s="5"/>
      <c r="HLO66" s="5"/>
      <c r="HLP66" s="5"/>
      <c r="HLQ66" s="5"/>
      <c r="HLR66" s="5"/>
      <c r="HLS66" s="5"/>
      <c r="HLT66" s="5"/>
      <c r="HLU66" s="5"/>
      <c r="HLV66" s="5"/>
      <c r="HLW66" s="5"/>
      <c r="HLX66" s="5"/>
      <c r="HLY66" s="5"/>
      <c r="HLZ66" s="5"/>
      <c r="HMA66" s="5"/>
      <c r="HMB66" s="5"/>
      <c r="HMC66" s="5"/>
      <c r="HMD66" s="5"/>
      <c r="HME66" s="5"/>
      <c r="HMF66" s="5"/>
      <c r="HMG66" s="5"/>
      <c r="HMH66" s="5"/>
      <c r="HMI66" s="5"/>
      <c r="HMJ66" s="5"/>
      <c r="HMK66" s="5"/>
      <c r="HML66" s="5"/>
      <c r="HMM66" s="5"/>
      <c r="HMN66" s="5"/>
      <c r="HMO66" s="5"/>
      <c r="HMP66" s="5"/>
      <c r="HMQ66" s="5"/>
      <c r="HMR66" s="5"/>
      <c r="HMS66" s="5"/>
      <c r="HMT66" s="5"/>
      <c r="HMU66" s="5"/>
      <c r="HMV66" s="5"/>
      <c r="HMW66" s="5"/>
      <c r="HMX66" s="5"/>
      <c r="HMY66" s="5"/>
      <c r="HMZ66" s="5"/>
      <c r="HNA66" s="5"/>
      <c r="HNB66" s="5"/>
      <c r="HNC66" s="5"/>
      <c r="HND66" s="5"/>
      <c r="HNE66" s="5"/>
      <c r="HNF66" s="5"/>
      <c r="HNG66" s="5"/>
      <c r="HNH66" s="5"/>
      <c r="HNI66" s="5"/>
      <c r="HNJ66" s="5"/>
      <c r="HNK66" s="5"/>
      <c r="HNL66" s="5"/>
      <c r="HNM66" s="5"/>
      <c r="HNN66" s="5"/>
      <c r="HNO66" s="5"/>
      <c r="HNP66" s="5"/>
      <c r="HNQ66" s="5"/>
      <c r="HNR66" s="5"/>
      <c r="HNS66" s="5"/>
      <c r="HNT66" s="5"/>
      <c r="HNU66" s="5"/>
      <c r="HNV66" s="5"/>
      <c r="HNW66" s="5"/>
      <c r="HNX66" s="5"/>
      <c r="HNY66" s="5"/>
      <c r="HNZ66" s="5"/>
      <c r="HOA66" s="5"/>
      <c r="HOB66" s="5"/>
      <c r="HOC66" s="5"/>
      <c r="HOD66" s="5"/>
      <c r="HOE66" s="5"/>
      <c r="HOF66" s="5"/>
      <c r="HOG66" s="5"/>
      <c r="HOH66" s="5"/>
      <c r="HOI66" s="5"/>
      <c r="HOJ66" s="5"/>
      <c r="HOK66" s="5"/>
      <c r="HOL66" s="5"/>
      <c r="HOM66" s="5"/>
      <c r="HON66" s="5"/>
      <c r="HOO66" s="5"/>
      <c r="HOP66" s="5"/>
      <c r="HOQ66" s="5"/>
      <c r="HOR66" s="5"/>
      <c r="HOS66" s="5"/>
      <c r="HOT66" s="5"/>
      <c r="HOU66" s="5"/>
      <c r="HOV66" s="5"/>
      <c r="HOW66" s="5"/>
      <c r="HOX66" s="5"/>
      <c r="HOY66" s="5"/>
      <c r="HOZ66" s="5"/>
      <c r="HPA66" s="5"/>
      <c r="HPB66" s="5"/>
      <c r="HPC66" s="5"/>
      <c r="HPD66" s="5"/>
      <c r="HPE66" s="5"/>
      <c r="HPF66" s="5"/>
      <c r="HPG66" s="5"/>
      <c r="HPH66" s="5"/>
      <c r="HPI66" s="5"/>
      <c r="HPJ66" s="5"/>
      <c r="HPK66" s="5"/>
      <c r="HPL66" s="5"/>
      <c r="HPM66" s="5"/>
      <c r="HPN66" s="5"/>
      <c r="HPO66" s="5"/>
      <c r="HPP66" s="5"/>
      <c r="HPQ66" s="5"/>
      <c r="HPR66" s="5"/>
      <c r="HPS66" s="5"/>
      <c r="HPT66" s="5"/>
      <c r="HPU66" s="5"/>
      <c r="HPV66" s="5"/>
      <c r="HPW66" s="5"/>
      <c r="HPX66" s="5"/>
      <c r="HPY66" s="5"/>
      <c r="HPZ66" s="5"/>
      <c r="HQA66" s="5"/>
      <c r="HQB66" s="5"/>
      <c r="HQC66" s="5"/>
      <c r="HQD66" s="5"/>
      <c r="HQE66" s="5"/>
      <c r="HQF66" s="5"/>
      <c r="HQG66" s="5"/>
      <c r="HQH66" s="5"/>
      <c r="HQI66" s="5"/>
      <c r="HQJ66" s="5"/>
      <c r="HQK66" s="5"/>
      <c r="HQL66" s="5"/>
      <c r="HQM66" s="5"/>
      <c r="HQN66" s="5"/>
      <c r="HQO66" s="5"/>
      <c r="HQP66" s="5"/>
      <c r="HQQ66" s="5"/>
      <c r="HQR66" s="5"/>
      <c r="HQS66" s="5"/>
      <c r="HQT66" s="5"/>
      <c r="HQU66" s="5"/>
      <c r="HQV66" s="5"/>
      <c r="HQW66" s="5"/>
      <c r="HQX66" s="5"/>
      <c r="HQY66" s="5"/>
      <c r="HQZ66" s="5"/>
      <c r="HRA66" s="5"/>
      <c r="HRB66" s="5"/>
      <c r="HRC66" s="5"/>
      <c r="HRD66" s="5"/>
      <c r="HRE66" s="5"/>
      <c r="HRF66" s="5"/>
      <c r="HRG66" s="5"/>
      <c r="HRH66" s="5"/>
      <c r="HRI66" s="5"/>
      <c r="HRJ66" s="5"/>
      <c r="HRK66" s="5"/>
      <c r="HRL66" s="5"/>
      <c r="HRM66" s="5"/>
      <c r="HRN66" s="5"/>
      <c r="HRO66" s="5"/>
      <c r="HRP66" s="5"/>
      <c r="HRQ66" s="5"/>
      <c r="HRR66" s="5"/>
      <c r="HRS66" s="5"/>
      <c r="HRT66" s="5"/>
      <c r="HRU66" s="5"/>
      <c r="HRV66" s="5"/>
      <c r="HRW66" s="5"/>
      <c r="HRX66" s="5"/>
      <c r="HRY66" s="5"/>
      <c r="HRZ66" s="5"/>
      <c r="HSA66" s="5"/>
      <c r="HSB66" s="5"/>
      <c r="HSC66" s="5"/>
      <c r="HSD66" s="5"/>
      <c r="HSE66" s="5"/>
      <c r="HSF66" s="5"/>
      <c r="HSG66" s="5"/>
      <c r="HSH66" s="5"/>
      <c r="HSI66" s="5"/>
      <c r="HSJ66" s="5"/>
      <c r="HSK66" s="5"/>
      <c r="HSL66" s="5"/>
      <c r="HSM66" s="5"/>
      <c r="HSN66" s="5"/>
      <c r="HSO66" s="5"/>
      <c r="HSP66" s="5"/>
      <c r="HSQ66" s="5"/>
      <c r="HSR66" s="5"/>
      <c r="HSS66" s="5"/>
      <c r="HST66" s="5"/>
      <c r="HSU66" s="5"/>
      <c r="HSV66" s="5"/>
      <c r="HSW66" s="5"/>
      <c r="HSX66" s="5"/>
      <c r="HSY66" s="5"/>
      <c r="HSZ66" s="5"/>
      <c r="HTA66" s="5"/>
      <c r="HTB66" s="5"/>
      <c r="HTC66" s="5"/>
      <c r="HTD66" s="5"/>
      <c r="HTE66" s="5"/>
      <c r="HTF66" s="5"/>
      <c r="HTG66" s="5"/>
      <c r="HTH66" s="5"/>
      <c r="HTI66" s="5"/>
      <c r="HTJ66" s="5"/>
      <c r="HTK66" s="5"/>
      <c r="HTL66" s="5"/>
      <c r="HTM66" s="5"/>
      <c r="HTN66" s="5"/>
      <c r="HTO66" s="5"/>
      <c r="HTP66" s="5"/>
      <c r="HTQ66" s="5"/>
      <c r="HTR66" s="5"/>
      <c r="HTS66" s="5"/>
      <c r="HTT66" s="5"/>
      <c r="HTU66" s="5"/>
      <c r="HTV66" s="5"/>
      <c r="HTW66" s="5"/>
      <c r="HTX66" s="5"/>
      <c r="HTY66" s="5"/>
      <c r="HTZ66" s="5"/>
      <c r="HUA66" s="5"/>
      <c r="HUB66" s="5"/>
      <c r="HUC66" s="5"/>
      <c r="HUD66" s="5"/>
      <c r="HUE66" s="5"/>
      <c r="HUF66" s="5"/>
      <c r="HUG66" s="5"/>
      <c r="HUH66" s="5"/>
      <c r="HUI66" s="5"/>
      <c r="HUJ66" s="5"/>
      <c r="HUK66" s="5"/>
      <c r="HUL66" s="5"/>
      <c r="HUM66" s="5"/>
      <c r="HUN66" s="5"/>
      <c r="HUO66" s="5"/>
      <c r="HUP66" s="5"/>
      <c r="HUQ66" s="5"/>
      <c r="HUR66" s="5"/>
      <c r="HUS66" s="5"/>
      <c r="HUT66" s="5"/>
      <c r="HUU66" s="5"/>
      <c r="HUV66" s="5"/>
      <c r="HUW66" s="5"/>
      <c r="HUX66" s="5"/>
      <c r="HUY66" s="5"/>
      <c r="HUZ66" s="5"/>
      <c r="HVA66" s="5"/>
      <c r="HVB66" s="5"/>
      <c r="HVC66" s="5"/>
      <c r="HVD66" s="5"/>
      <c r="HVE66" s="5"/>
      <c r="HVF66" s="5"/>
      <c r="HVG66" s="5"/>
      <c r="HVH66" s="5"/>
      <c r="HVI66" s="5"/>
      <c r="HVJ66" s="5"/>
      <c r="HVK66" s="5"/>
      <c r="HVL66" s="5"/>
      <c r="HVM66" s="5"/>
      <c r="HVN66" s="5"/>
      <c r="HVO66" s="5"/>
      <c r="HVP66" s="5"/>
      <c r="HVQ66" s="5"/>
      <c r="HVR66" s="5"/>
      <c r="HVS66" s="5"/>
      <c r="HVT66" s="5"/>
      <c r="HVU66" s="5"/>
      <c r="HVV66" s="5"/>
      <c r="HVW66" s="5"/>
      <c r="HVX66" s="5"/>
      <c r="HVY66" s="5"/>
      <c r="HVZ66" s="5"/>
      <c r="HWA66" s="5"/>
      <c r="HWB66" s="5"/>
      <c r="HWC66" s="5"/>
      <c r="HWD66" s="5"/>
      <c r="HWE66" s="5"/>
      <c r="HWF66" s="5"/>
      <c r="HWG66" s="5"/>
      <c r="HWH66" s="5"/>
      <c r="HWI66" s="5"/>
      <c r="HWJ66" s="5"/>
      <c r="HWK66" s="5"/>
      <c r="HWL66" s="5"/>
      <c r="HWM66" s="5"/>
      <c r="HWN66" s="5"/>
      <c r="HWO66" s="5"/>
      <c r="HWP66" s="5"/>
      <c r="HWQ66" s="5"/>
      <c r="HWR66" s="5"/>
      <c r="HWS66" s="5"/>
      <c r="HWT66" s="5"/>
      <c r="HWU66" s="5"/>
      <c r="HWV66" s="5"/>
      <c r="HWW66" s="5"/>
      <c r="HWX66" s="5"/>
      <c r="HWY66" s="5"/>
      <c r="HWZ66" s="5"/>
      <c r="HXA66" s="5"/>
      <c r="HXB66" s="5"/>
      <c r="HXC66" s="5"/>
      <c r="HXD66" s="5"/>
      <c r="HXE66" s="5"/>
      <c r="HXF66" s="5"/>
      <c r="HXG66" s="5"/>
      <c r="HXH66" s="5"/>
      <c r="HXI66" s="5"/>
      <c r="HXJ66" s="5"/>
      <c r="HXK66" s="5"/>
      <c r="HXL66" s="5"/>
      <c r="HXM66" s="5"/>
      <c r="HXN66" s="5"/>
      <c r="HXO66" s="5"/>
      <c r="HXP66" s="5"/>
      <c r="HXQ66" s="5"/>
      <c r="HXR66" s="5"/>
      <c r="HXS66" s="5"/>
      <c r="HXT66" s="5"/>
      <c r="HXU66" s="5"/>
      <c r="HXV66" s="5"/>
      <c r="HXW66" s="5"/>
      <c r="HXX66" s="5"/>
      <c r="HXY66" s="5"/>
      <c r="HXZ66" s="5"/>
      <c r="HYA66" s="5"/>
      <c r="HYB66" s="5"/>
      <c r="HYC66" s="5"/>
      <c r="HYD66" s="5"/>
      <c r="HYE66" s="5"/>
      <c r="HYF66" s="5"/>
      <c r="HYG66" s="5"/>
      <c r="HYH66" s="5"/>
      <c r="HYI66" s="5"/>
      <c r="HYJ66" s="5"/>
      <c r="HYK66" s="5"/>
      <c r="HYL66" s="5"/>
      <c r="HYM66" s="5"/>
      <c r="HYN66" s="5"/>
      <c r="HYO66" s="5"/>
      <c r="HYP66" s="5"/>
      <c r="HYQ66" s="5"/>
      <c r="HYR66" s="5"/>
      <c r="HYS66" s="5"/>
      <c r="HYT66" s="5"/>
      <c r="HYU66" s="5"/>
      <c r="HYV66" s="5"/>
      <c r="HYW66" s="5"/>
      <c r="HYX66" s="5"/>
      <c r="HYY66" s="5"/>
      <c r="HYZ66" s="5"/>
      <c r="HZA66" s="5"/>
      <c r="HZB66" s="5"/>
      <c r="HZC66" s="5"/>
      <c r="HZD66" s="5"/>
      <c r="HZE66" s="5"/>
      <c r="HZF66" s="5"/>
      <c r="HZG66" s="5"/>
      <c r="HZH66" s="5"/>
      <c r="HZI66" s="5"/>
      <c r="HZJ66" s="5"/>
      <c r="HZK66" s="5"/>
      <c r="HZL66" s="5"/>
      <c r="HZM66" s="5"/>
      <c r="HZN66" s="5"/>
      <c r="HZO66" s="5"/>
      <c r="HZP66" s="5"/>
      <c r="HZQ66" s="5"/>
      <c r="HZR66" s="5"/>
      <c r="HZS66" s="5"/>
      <c r="HZT66" s="5"/>
      <c r="HZU66" s="5"/>
      <c r="HZV66" s="5"/>
      <c r="HZW66" s="5"/>
      <c r="HZX66" s="5"/>
      <c r="HZY66" s="5"/>
      <c r="HZZ66" s="5"/>
      <c r="IAA66" s="5"/>
      <c r="IAB66" s="5"/>
      <c r="IAC66" s="5"/>
      <c r="IAD66" s="5"/>
      <c r="IAE66" s="5"/>
      <c r="IAF66" s="5"/>
      <c r="IAG66" s="5"/>
      <c r="IAH66" s="5"/>
      <c r="IAI66" s="5"/>
      <c r="IAJ66" s="5"/>
      <c r="IAK66" s="5"/>
      <c r="IAL66" s="5"/>
      <c r="IAM66" s="5"/>
      <c r="IAN66" s="5"/>
      <c r="IAO66" s="5"/>
      <c r="IAP66" s="5"/>
      <c r="IAQ66" s="5"/>
      <c r="IAR66" s="5"/>
      <c r="IAS66" s="5"/>
      <c r="IAT66" s="5"/>
      <c r="IAU66" s="5"/>
      <c r="IAV66" s="5"/>
      <c r="IAW66" s="5"/>
      <c r="IAX66" s="5"/>
      <c r="IAY66" s="5"/>
      <c r="IAZ66" s="5"/>
      <c r="IBA66" s="5"/>
      <c r="IBB66" s="5"/>
      <c r="IBC66" s="5"/>
      <c r="IBD66" s="5"/>
      <c r="IBE66" s="5"/>
      <c r="IBF66" s="5"/>
      <c r="IBG66" s="5"/>
      <c r="IBH66" s="5"/>
      <c r="IBI66" s="5"/>
      <c r="IBJ66" s="5"/>
      <c r="IBK66" s="5"/>
      <c r="IBL66" s="5"/>
      <c r="IBM66" s="5"/>
      <c r="IBN66" s="5"/>
      <c r="IBO66" s="5"/>
      <c r="IBP66" s="5"/>
      <c r="IBQ66" s="5"/>
      <c r="IBR66" s="5"/>
      <c r="IBS66" s="5"/>
      <c r="IBT66" s="5"/>
      <c r="IBU66" s="5"/>
      <c r="IBV66" s="5"/>
      <c r="IBW66" s="5"/>
      <c r="IBX66" s="5"/>
      <c r="IBY66" s="5"/>
      <c r="IBZ66" s="5"/>
      <c r="ICA66" s="5"/>
      <c r="ICB66" s="5"/>
      <c r="ICC66" s="5"/>
      <c r="ICD66" s="5"/>
      <c r="ICE66" s="5"/>
      <c r="ICF66" s="5"/>
      <c r="ICG66" s="5"/>
      <c r="ICH66" s="5"/>
      <c r="ICI66" s="5"/>
      <c r="ICJ66" s="5"/>
      <c r="ICK66" s="5"/>
      <c r="ICL66" s="5"/>
      <c r="ICM66" s="5"/>
      <c r="ICN66" s="5"/>
      <c r="ICO66" s="5"/>
      <c r="ICP66" s="5"/>
      <c r="ICQ66" s="5"/>
      <c r="ICR66" s="5"/>
      <c r="ICS66" s="5"/>
      <c r="ICT66" s="5"/>
      <c r="ICU66" s="5"/>
      <c r="ICV66" s="5"/>
      <c r="ICW66" s="5"/>
      <c r="ICX66" s="5"/>
      <c r="ICY66" s="5"/>
      <c r="ICZ66" s="5"/>
      <c r="IDA66" s="5"/>
      <c r="IDB66" s="5"/>
      <c r="IDC66" s="5"/>
      <c r="IDD66" s="5"/>
      <c r="IDE66" s="5"/>
      <c r="IDF66" s="5"/>
      <c r="IDG66" s="5"/>
      <c r="IDH66" s="5"/>
      <c r="IDI66" s="5"/>
      <c r="IDJ66" s="5"/>
      <c r="IDK66" s="5"/>
      <c r="IDL66" s="5"/>
      <c r="IDM66" s="5"/>
      <c r="IDN66" s="5"/>
      <c r="IDO66" s="5"/>
      <c r="IDP66" s="5"/>
      <c r="IDQ66" s="5"/>
      <c r="IDR66" s="5"/>
      <c r="IDS66" s="5"/>
      <c r="IDT66" s="5"/>
      <c r="IDU66" s="5"/>
      <c r="IDV66" s="5"/>
      <c r="IDW66" s="5"/>
      <c r="IDX66" s="5"/>
      <c r="IDY66" s="5"/>
      <c r="IDZ66" s="5"/>
      <c r="IEA66" s="5"/>
      <c r="IEB66" s="5"/>
      <c r="IEC66" s="5"/>
      <c r="IED66" s="5"/>
      <c r="IEE66" s="5"/>
      <c r="IEF66" s="5"/>
      <c r="IEG66" s="5"/>
      <c r="IEH66" s="5"/>
      <c r="IEI66" s="5"/>
      <c r="IEJ66" s="5"/>
      <c r="IEK66" s="5"/>
      <c r="IEL66" s="5"/>
      <c r="IEM66" s="5"/>
      <c r="IEN66" s="5"/>
      <c r="IEO66" s="5"/>
      <c r="IEP66" s="5"/>
      <c r="IEQ66" s="5"/>
      <c r="IER66" s="5"/>
      <c r="IES66" s="5"/>
      <c r="IET66" s="5"/>
      <c r="IEU66" s="5"/>
      <c r="IEV66" s="5"/>
      <c r="IEW66" s="5"/>
      <c r="IEX66" s="5"/>
      <c r="IEY66" s="5"/>
      <c r="IEZ66" s="5"/>
      <c r="IFA66" s="5"/>
      <c r="IFB66" s="5"/>
      <c r="IFC66" s="5"/>
      <c r="IFD66" s="5"/>
      <c r="IFE66" s="5"/>
      <c r="IFF66" s="5"/>
      <c r="IFG66" s="5"/>
      <c r="IFH66" s="5"/>
      <c r="IFI66" s="5"/>
      <c r="IFJ66" s="5"/>
      <c r="IFK66" s="5"/>
      <c r="IFL66" s="5"/>
      <c r="IFM66" s="5"/>
      <c r="IFN66" s="5"/>
      <c r="IFO66" s="5"/>
      <c r="IFP66" s="5"/>
      <c r="IFQ66" s="5"/>
      <c r="IFR66" s="5"/>
      <c r="IFS66" s="5"/>
      <c r="IFT66" s="5"/>
      <c r="IFU66" s="5"/>
      <c r="IFV66" s="5"/>
      <c r="IFW66" s="5"/>
      <c r="IFX66" s="5"/>
      <c r="IFY66" s="5"/>
      <c r="IFZ66" s="5"/>
      <c r="IGA66" s="5"/>
      <c r="IGB66" s="5"/>
      <c r="IGC66" s="5"/>
      <c r="IGD66" s="5"/>
      <c r="IGE66" s="5"/>
      <c r="IGF66" s="5"/>
      <c r="IGG66" s="5"/>
      <c r="IGH66" s="5"/>
      <c r="IGI66" s="5"/>
      <c r="IGJ66" s="5"/>
      <c r="IGK66" s="5"/>
      <c r="IGL66" s="5"/>
      <c r="IGM66" s="5"/>
      <c r="IGN66" s="5"/>
      <c r="IGO66" s="5"/>
      <c r="IGP66" s="5"/>
      <c r="IGQ66" s="5"/>
      <c r="IGR66" s="5"/>
      <c r="IGS66" s="5"/>
      <c r="IGT66" s="5"/>
      <c r="IGU66" s="5"/>
      <c r="IGV66" s="5"/>
      <c r="IGW66" s="5"/>
      <c r="IGX66" s="5"/>
      <c r="IGY66" s="5"/>
      <c r="IGZ66" s="5"/>
      <c r="IHA66" s="5"/>
      <c r="IHB66" s="5"/>
      <c r="IHC66" s="5"/>
      <c r="IHD66" s="5"/>
      <c r="IHE66" s="5"/>
      <c r="IHF66" s="5"/>
      <c r="IHG66" s="5"/>
      <c r="IHH66" s="5"/>
      <c r="IHI66" s="5"/>
      <c r="IHJ66" s="5"/>
      <c r="IHK66" s="5"/>
      <c r="IHL66" s="5"/>
      <c r="IHM66" s="5"/>
      <c r="IHN66" s="5"/>
      <c r="IHO66" s="5"/>
      <c r="IHP66" s="5"/>
      <c r="IHQ66" s="5"/>
      <c r="IHR66" s="5"/>
      <c r="IHS66" s="5"/>
      <c r="IHT66" s="5"/>
      <c r="IHU66" s="5"/>
      <c r="IHV66" s="5"/>
      <c r="IHW66" s="5"/>
      <c r="IHX66" s="5"/>
      <c r="IHY66" s="5"/>
      <c r="IHZ66" s="5"/>
      <c r="IIA66" s="5"/>
      <c r="IIB66" s="5"/>
      <c r="IIC66" s="5"/>
      <c r="IID66" s="5"/>
      <c r="IIE66" s="5"/>
      <c r="IIF66" s="5"/>
      <c r="IIG66" s="5"/>
      <c r="IIH66" s="5"/>
      <c r="III66" s="5"/>
      <c r="IIJ66" s="5"/>
      <c r="IIK66" s="5"/>
      <c r="IIL66" s="5"/>
      <c r="IIM66" s="5"/>
      <c r="IIN66" s="5"/>
      <c r="IIO66" s="5"/>
      <c r="IIP66" s="5"/>
      <c r="IIQ66" s="5"/>
      <c r="IIR66" s="5"/>
      <c r="IIS66" s="5"/>
      <c r="IIT66" s="5"/>
      <c r="IIU66" s="5"/>
      <c r="IIV66" s="5"/>
      <c r="IIW66" s="5"/>
      <c r="IIX66" s="5"/>
      <c r="IIY66" s="5"/>
      <c r="IIZ66" s="5"/>
      <c r="IJA66" s="5"/>
      <c r="IJB66" s="5"/>
      <c r="IJC66" s="5"/>
      <c r="IJD66" s="5"/>
      <c r="IJE66" s="5"/>
      <c r="IJF66" s="5"/>
      <c r="IJG66" s="5"/>
      <c r="IJH66" s="5"/>
      <c r="IJI66" s="5"/>
      <c r="IJJ66" s="5"/>
      <c r="IJK66" s="5"/>
      <c r="IJL66" s="5"/>
      <c r="IJM66" s="5"/>
      <c r="IJN66" s="5"/>
      <c r="IJO66" s="5"/>
      <c r="IJP66" s="5"/>
      <c r="IJQ66" s="5"/>
      <c r="IJR66" s="5"/>
      <c r="IJS66" s="5"/>
      <c r="IJT66" s="5"/>
      <c r="IJU66" s="5"/>
      <c r="IJV66" s="5"/>
      <c r="IJW66" s="5"/>
      <c r="IJX66" s="5"/>
      <c r="IJY66" s="5"/>
      <c r="IJZ66" s="5"/>
      <c r="IKA66" s="5"/>
      <c r="IKB66" s="5"/>
      <c r="IKC66" s="5"/>
      <c r="IKD66" s="5"/>
      <c r="IKE66" s="5"/>
      <c r="IKF66" s="5"/>
      <c r="IKG66" s="5"/>
      <c r="IKH66" s="5"/>
      <c r="IKI66" s="5"/>
      <c r="IKJ66" s="5"/>
      <c r="IKK66" s="5"/>
      <c r="IKL66" s="5"/>
      <c r="IKM66" s="5"/>
      <c r="IKN66" s="5"/>
      <c r="IKO66" s="5"/>
      <c r="IKP66" s="5"/>
      <c r="IKQ66" s="5"/>
      <c r="IKR66" s="5"/>
      <c r="IKS66" s="5"/>
      <c r="IKT66" s="5"/>
      <c r="IKU66" s="5"/>
      <c r="IKV66" s="5"/>
      <c r="IKW66" s="5"/>
      <c r="IKX66" s="5"/>
      <c r="IKY66" s="5"/>
      <c r="IKZ66" s="5"/>
      <c r="ILA66" s="5"/>
      <c r="ILB66" s="5"/>
      <c r="ILC66" s="5"/>
      <c r="ILD66" s="5"/>
      <c r="ILE66" s="5"/>
      <c r="ILF66" s="5"/>
      <c r="ILG66" s="5"/>
      <c r="ILH66" s="5"/>
      <c r="ILI66" s="5"/>
      <c r="ILJ66" s="5"/>
      <c r="ILK66" s="5"/>
      <c r="ILL66" s="5"/>
      <c r="ILM66" s="5"/>
      <c r="ILN66" s="5"/>
      <c r="ILO66" s="5"/>
      <c r="ILP66" s="5"/>
      <c r="ILQ66" s="5"/>
      <c r="ILR66" s="5"/>
      <c r="ILS66" s="5"/>
      <c r="ILT66" s="5"/>
      <c r="ILU66" s="5"/>
      <c r="ILV66" s="5"/>
      <c r="ILW66" s="5"/>
      <c r="ILX66" s="5"/>
      <c r="ILY66" s="5"/>
      <c r="ILZ66" s="5"/>
      <c r="IMA66" s="5"/>
      <c r="IMB66" s="5"/>
      <c r="IMC66" s="5"/>
      <c r="IMD66" s="5"/>
      <c r="IME66" s="5"/>
      <c r="IMF66" s="5"/>
      <c r="IMG66" s="5"/>
      <c r="IMH66" s="5"/>
      <c r="IMI66" s="5"/>
      <c r="IMJ66" s="5"/>
      <c r="IMK66" s="5"/>
      <c r="IML66" s="5"/>
      <c r="IMM66" s="5"/>
      <c r="IMN66" s="5"/>
      <c r="IMO66" s="5"/>
      <c r="IMP66" s="5"/>
      <c r="IMQ66" s="5"/>
      <c r="IMR66" s="5"/>
      <c r="IMS66" s="5"/>
      <c r="IMT66" s="5"/>
      <c r="IMU66" s="5"/>
      <c r="IMV66" s="5"/>
      <c r="IMW66" s="5"/>
      <c r="IMX66" s="5"/>
      <c r="IMY66" s="5"/>
      <c r="IMZ66" s="5"/>
      <c r="INA66" s="5"/>
      <c r="INB66" s="5"/>
      <c r="INC66" s="5"/>
      <c r="IND66" s="5"/>
      <c r="INE66" s="5"/>
      <c r="INF66" s="5"/>
      <c r="ING66" s="5"/>
      <c r="INH66" s="5"/>
      <c r="INI66" s="5"/>
      <c r="INJ66" s="5"/>
      <c r="INK66" s="5"/>
      <c r="INL66" s="5"/>
      <c r="INM66" s="5"/>
      <c r="INN66" s="5"/>
      <c r="INO66" s="5"/>
      <c r="INP66" s="5"/>
      <c r="INQ66" s="5"/>
      <c r="INR66" s="5"/>
      <c r="INS66" s="5"/>
      <c r="INT66" s="5"/>
      <c r="INU66" s="5"/>
      <c r="INV66" s="5"/>
      <c r="INW66" s="5"/>
      <c r="INX66" s="5"/>
      <c r="INY66" s="5"/>
      <c r="INZ66" s="5"/>
      <c r="IOA66" s="5"/>
      <c r="IOB66" s="5"/>
      <c r="IOC66" s="5"/>
      <c r="IOD66" s="5"/>
      <c r="IOE66" s="5"/>
      <c r="IOF66" s="5"/>
      <c r="IOG66" s="5"/>
      <c r="IOH66" s="5"/>
      <c r="IOI66" s="5"/>
      <c r="IOJ66" s="5"/>
      <c r="IOK66" s="5"/>
      <c r="IOL66" s="5"/>
      <c r="IOM66" s="5"/>
      <c r="ION66" s="5"/>
      <c r="IOO66" s="5"/>
      <c r="IOP66" s="5"/>
      <c r="IOQ66" s="5"/>
      <c r="IOR66" s="5"/>
      <c r="IOS66" s="5"/>
      <c r="IOT66" s="5"/>
      <c r="IOU66" s="5"/>
      <c r="IOV66" s="5"/>
      <c r="IOW66" s="5"/>
      <c r="IOX66" s="5"/>
      <c r="IOY66" s="5"/>
      <c r="IOZ66" s="5"/>
      <c r="IPA66" s="5"/>
      <c r="IPB66" s="5"/>
      <c r="IPC66" s="5"/>
      <c r="IPD66" s="5"/>
      <c r="IPE66" s="5"/>
      <c r="IPF66" s="5"/>
      <c r="IPG66" s="5"/>
      <c r="IPH66" s="5"/>
      <c r="IPI66" s="5"/>
      <c r="IPJ66" s="5"/>
      <c r="IPK66" s="5"/>
      <c r="IPL66" s="5"/>
      <c r="IPM66" s="5"/>
      <c r="IPN66" s="5"/>
      <c r="IPO66" s="5"/>
      <c r="IPP66" s="5"/>
      <c r="IPQ66" s="5"/>
      <c r="IPR66" s="5"/>
      <c r="IPS66" s="5"/>
      <c r="IPT66" s="5"/>
      <c r="IPU66" s="5"/>
      <c r="IPV66" s="5"/>
      <c r="IPW66" s="5"/>
      <c r="IPX66" s="5"/>
      <c r="IPY66" s="5"/>
      <c r="IPZ66" s="5"/>
      <c r="IQA66" s="5"/>
      <c r="IQB66" s="5"/>
      <c r="IQC66" s="5"/>
      <c r="IQD66" s="5"/>
      <c r="IQE66" s="5"/>
      <c r="IQF66" s="5"/>
      <c r="IQG66" s="5"/>
      <c r="IQH66" s="5"/>
      <c r="IQI66" s="5"/>
      <c r="IQJ66" s="5"/>
      <c r="IQK66" s="5"/>
      <c r="IQL66" s="5"/>
      <c r="IQM66" s="5"/>
      <c r="IQN66" s="5"/>
      <c r="IQO66" s="5"/>
      <c r="IQP66" s="5"/>
      <c r="IQQ66" s="5"/>
      <c r="IQR66" s="5"/>
      <c r="IQS66" s="5"/>
      <c r="IQT66" s="5"/>
      <c r="IQU66" s="5"/>
      <c r="IQV66" s="5"/>
      <c r="IQW66" s="5"/>
      <c r="IQX66" s="5"/>
      <c r="IQY66" s="5"/>
      <c r="IQZ66" s="5"/>
      <c r="IRA66" s="5"/>
      <c r="IRB66" s="5"/>
      <c r="IRC66" s="5"/>
      <c r="IRD66" s="5"/>
      <c r="IRE66" s="5"/>
      <c r="IRF66" s="5"/>
      <c r="IRG66" s="5"/>
      <c r="IRH66" s="5"/>
      <c r="IRI66" s="5"/>
      <c r="IRJ66" s="5"/>
      <c r="IRK66" s="5"/>
      <c r="IRL66" s="5"/>
      <c r="IRM66" s="5"/>
      <c r="IRN66" s="5"/>
      <c r="IRO66" s="5"/>
      <c r="IRP66" s="5"/>
      <c r="IRQ66" s="5"/>
      <c r="IRR66" s="5"/>
      <c r="IRS66" s="5"/>
      <c r="IRT66" s="5"/>
      <c r="IRU66" s="5"/>
      <c r="IRV66" s="5"/>
      <c r="IRW66" s="5"/>
      <c r="IRX66" s="5"/>
      <c r="IRY66" s="5"/>
      <c r="IRZ66" s="5"/>
      <c r="ISA66" s="5"/>
      <c r="ISB66" s="5"/>
      <c r="ISC66" s="5"/>
      <c r="ISD66" s="5"/>
      <c r="ISE66" s="5"/>
      <c r="ISF66" s="5"/>
      <c r="ISG66" s="5"/>
      <c r="ISH66" s="5"/>
      <c r="ISI66" s="5"/>
      <c r="ISJ66" s="5"/>
      <c r="ISK66" s="5"/>
      <c r="ISL66" s="5"/>
      <c r="ISM66" s="5"/>
      <c r="ISN66" s="5"/>
      <c r="ISO66" s="5"/>
      <c r="ISP66" s="5"/>
      <c r="ISQ66" s="5"/>
      <c r="ISR66" s="5"/>
      <c r="ISS66" s="5"/>
      <c r="IST66" s="5"/>
      <c r="ISU66" s="5"/>
      <c r="ISV66" s="5"/>
      <c r="ISW66" s="5"/>
      <c r="ISX66" s="5"/>
      <c r="ISY66" s="5"/>
      <c r="ISZ66" s="5"/>
      <c r="ITA66" s="5"/>
      <c r="ITB66" s="5"/>
      <c r="ITC66" s="5"/>
      <c r="ITD66" s="5"/>
      <c r="ITE66" s="5"/>
      <c r="ITF66" s="5"/>
      <c r="ITG66" s="5"/>
      <c r="ITH66" s="5"/>
      <c r="ITI66" s="5"/>
      <c r="ITJ66" s="5"/>
      <c r="ITK66" s="5"/>
      <c r="ITL66" s="5"/>
      <c r="ITM66" s="5"/>
      <c r="ITN66" s="5"/>
      <c r="ITO66" s="5"/>
      <c r="ITP66" s="5"/>
      <c r="ITQ66" s="5"/>
      <c r="ITR66" s="5"/>
      <c r="ITS66" s="5"/>
      <c r="ITT66" s="5"/>
      <c r="ITU66" s="5"/>
      <c r="ITV66" s="5"/>
      <c r="ITW66" s="5"/>
      <c r="ITX66" s="5"/>
      <c r="ITY66" s="5"/>
      <c r="ITZ66" s="5"/>
      <c r="IUA66" s="5"/>
      <c r="IUB66" s="5"/>
      <c r="IUC66" s="5"/>
      <c r="IUD66" s="5"/>
      <c r="IUE66" s="5"/>
      <c r="IUF66" s="5"/>
      <c r="IUG66" s="5"/>
      <c r="IUH66" s="5"/>
      <c r="IUI66" s="5"/>
      <c r="IUJ66" s="5"/>
      <c r="IUK66" s="5"/>
      <c r="IUL66" s="5"/>
      <c r="IUM66" s="5"/>
      <c r="IUN66" s="5"/>
      <c r="IUO66" s="5"/>
      <c r="IUP66" s="5"/>
      <c r="IUQ66" s="5"/>
      <c r="IUR66" s="5"/>
      <c r="IUS66" s="5"/>
      <c r="IUT66" s="5"/>
      <c r="IUU66" s="5"/>
      <c r="IUV66" s="5"/>
      <c r="IUW66" s="5"/>
      <c r="IUX66" s="5"/>
      <c r="IUY66" s="5"/>
      <c r="IUZ66" s="5"/>
      <c r="IVA66" s="5"/>
      <c r="IVB66" s="5"/>
      <c r="IVC66" s="5"/>
      <c r="IVD66" s="5"/>
      <c r="IVE66" s="5"/>
      <c r="IVF66" s="5"/>
      <c r="IVG66" s="5"/>
      <c r="IVH66" s="5"/>
      <c r="IVI66" s="5"/>
      <c r="IVJ66" s="5"/>
      <c r="IVK66" s="5"/>
      <c r="IVL66" s="5"/>
      <c r="IVM66" s="5"/>
      <c r="IVN66" s="5"/>
      <c r="IVO66" s="5"/>
      <c r="IVP66" s="5"/>
      <c r="IVQ66" s="5"/>
      <c r="IVR66" s="5"/>
      <c r="IVS66" s="5"/>
      <c r="IVT66" s="5"/>
      <c r="IVU66" s="5"/>
      <c r="IVV66" s="5"/>
      <c r="IVW66" s="5"/>
      <c r="IVX66" s="5"/>
      <c r="IVY66" s="5"/>
      <c r="IVZ66" s="5"/>
      <c r="IWA66" s="5"/>
      <c r="IWB66" s="5"/>
      <c r="IWC66" s="5"/>
      <c r="IWD66" s="5"/>
      <c r="IWE66" s="5"/>
      <c r="IWF66" s="5"/>
      <c r="IWG66" s="5"/>
      <c r="IWH66" s="5"/>
      <c r="IWI66" s="5"/>
      <c r="IWJ66" s="5"/>
      <c r="IWK66" s="5"/>
      <c r="IWL66" s="5"/>
      <c r="IWM66" s="5"/>
      <c r="IWN66" s="5"/>
      <c r="IWO66" s="5"/>
      <c r="IWP66" s="5"/>
      <c r="IWQ66" s="5"/>
      <c r="IWR66" s="5"/>
      <c r="IWS66" s="5"/>
      <c r="IWT66" s="5"/>
      <c r="IWU66" s="5"/>
      <c r="IWV66" s="5"/>
      <c r="IWW66" s="5"/>
      <c r="IWX66" s="5"/>
      <c r="IWY66" s="5"/>
      <c r="IWZ66" s="5"/>
      <c r="IXA66" s="5"/>
      <c r="IXB66" s="5"/>
      <c r="IXC66" s="5"/>
      <c r="IXD66" s="5"/>
      <c r="IXE66" s="5"/>
      <c r="IXF66" s="5"/>
      <c r="IXG66" s="5"/>
      <c r="IXH66" s="5"/>
      <c r="IXI66" s="5"/>
      <c r="IXJ66" s="5"/>
      <c r="IXK66" s="5"/>
      <c r="IXL66" s="5"/>
      <c r="IXM66" s="5"/>
      <c r="IXN66" s="5"/>
      <c r="IXO66" s="5"/>
      <c r="IXP66" s="5"/>
      <c r="IXQ66" s="5"/>
      <c r="IXR66" s="5"/>
      <c r="IXS66" s="5"/>
      <c r="IXT66" s="5"/>
      <c r="IXU66" s="5"/>
      <c r="IXV66" s="5"/>
      <c r="IXW66" s="5"/>
      <c r="IXX66" s="5"/>
      <c r="IXY66" s="5"/>
      <c r="IXZ66" s="5"/>
      <c r="IYA66" s="5"/>
      <c r="IYB66" s="5"/>
      <c r="IYC66" s="5"/>
      <c r="IYD66" s="5"/>
      <c r="IYE66" s="5"/>
      <c r="IYF66" s="5"/>
      <c r="IYG66" s="5"/>
      <c r="IYH66" s="5"/>
      <c r="IYI66" s="5"/>
      <c r="IYJ66" s="5"/>
      <c r="IYK66" s="5"/>
      <c r="IYL66" s="5"/>
      <c r="IYM66" s="5"/>
      <c r="IYN66" s="5"/>
      <c r="IYO66" s="5"/>
      <c r="IYP66" s="5"/>
      <c r="IYQ66" s="5"/>
      <c r="IYR66" s="5"/>
      <c r="IYS66" s="5"/>
      <c r="IYT66" s="5"/>
      <c r="IYU66" s="5"/>
      <c r="IYV66" s="5"/>
      <c r="IYW66" s="5"/>
      <c r="IYX66" s="5"/>
      <c r="IYY66" s="5"/>
      <c r="IYZ66" s="5"/>
      <c r="IZA66" s="5"/>
      <c r="IZB66" s="5"/>
      <c r="IZC66" s="5"/>
      <c r="IZD66" s="5"/>
      <c r="IZE66" s="5"/>
      <c r="IZF66" s="5"/>
      <c r="IZG66" s="5"/>
      <c r="IZH66" s="5"/>
      <c r="IZI66" s="5"/>
      <c r="IZJ66" s="5"/>
      <c r="IZK66" s="5"/>
      <c r="IZL66" s="5"/>
      <c r="IZM66" s="5"/>
      <c r="IZN66" s="5"/>
      <c r="IZO66" s="5"/>
      <c r="IZP66" s="5"/>
      <c r="IZQ66" s="5"/>
      <c r="IZR66" s="5"/>
      <c r="IZS66" s="5"/>
      <c r="IZT66" s="5"/>
      <c r="IZU66" s="5"/>
      <c r="IZV66" s="5"/>
      <c r="IZW66" s="5"/>
      <c r="IZX66" s="5"/>
      <c r="IZY66" s="5"/>
      <c r="IZZ66" s="5"/>
      <c r="JAA66" s="5"/>
      <c r="JAB66" s="5"/>
      <c r="JAC66" s="5"/>
      <c r="JAD66" s="5"/>
      <c r="JAE66" s="5"/>
      <c r="JAF66" s="5"/>
      <c r="JAG66" s="5"/>
      <c r="JAH66" s="5"/>
      <c r="JAI66" s="5"/>
      <c r="JAJ66" s="5"/>
      <c r="JAK66" s="5"/>
      <c r="JAL66" s="5"/>
      <c r="JAM66" s="5"/>
      <c r="JAN66" s="5"/>
      <c r="JAO66" s="5"/>
      <c r="JAP66" s="5"/>
      <c r="JAQ66" s="5"/>
      <c r="JAR66" s="5"/>
      <c r="JAS66" s="5"/>
      <c r="JAT66" s="5"/>
      <c r="JAU66" s="5"/>
      <c r="JAV66" s="5"/>
      <c r="JAW66" s="5"/>
      <c r="JAX66" s="5"/>
      <c r="JAY66" s="5"/>
      <c r="JAZ66" s="5"/>
      <c r="JBA66" s="5"/>
      <c r="JBB66" s="5"/>
      <c r="JBC66" s="5"/>
      <c r="JBD66" s="5"/>
      <c r="JBE66" s="5"/>
      <c r="JBF66" s="5"/>
      <c r="JBG66" s="5"/>
      <c r="JBH66" s="5"/>
      <c r="JBI66" s="5"/>
      <c r="JBJ66" s="5"/>
      <c r="JBK66" s="5"/>
      <c r="JBL66" s="5"/>
      <c r="JBM66" s="5"/>
      <c r="JBN66" s="5"/>
      <c r="JBO66" s="5"/>
      <c r="JBP66" s="5"/>
      <c r="JBQ66" s="5"/>
      <c r="JBR66" s="5"/>
      <c r="JBS66" s="5"/>
      <c r="JBT66" s="5"/>
      <c r="JBU66" s="5"/>
      <c r="JBV66" s="5"/>
      <c r="JBW66" s="5"/>
      <c r="JBX66" s="5"/>
      <c r="JBY66" s="5"/>
      <c r="JBZ66" s="5"/>
      <c r="JCA66" s="5"/>
      <c r="JCB66" s="5"/>
      <c r="JCC66" s="5"/>
      <c r="JCD66" s="5"/>
      <c r="JCE66" s="5"/>
      <c r="JCF66" s="5"/>
      <c r="JCG66" s="5"/>
      <c r="JCH66" s="5"/>
      <c r="JCI66" s="5"/>
      <c r="JCJ66" s="5"/>
      <c r="JCK66" s="5"/>
      <c r="JCL66" s="5"/>
      <c r="JCM66" s="5"/>
      <c r="JCN66" s="5"/>
      <c r="JCO66" s="5"/>
      <c r="JCP66" s="5"/>
      <c r="JCQ66" s="5"/>
      <c r="JCR66" s="5"/>
      <c r="JCS66" s="5"/>
      <c r="JCT66" s="5"/>
      <c r="JCU66" s="5"/>
      <c r="JCV66" s="5"/>
      <c r="JCW66" s="5"/>
      <c r="JCX66" s="5"/>
      <c r="JCY66" s="5"/>
      <c r="JCZ66" s="5"/>
      <c r="JDA66" s="5"/>
      <c r="JDB66" s="5"/>
      <c r="JDC66" s="5"/>
      <c r="JDD66" s="5"/>
      <c r="JDE66" s="5"/>
      <c r="JDF66" s="5"/>
      <c r="JDG66" s="5"/>
      <c r="JDH66" s="5"/>
      <c r="JDI66" s="5"/>
      <c r="JDJ66" s="5"/>
      <c r="JDK66" s="5"/>
      <c r="JDL66" s="5"/>
      <c r="JDM66" s="5"/>
      <c r="JDN66" s="5"/>
      <c r="JDO66" s="5"/>
      <c r="JDP66" s="5"/>
      <c r="JDQ66" s="5"/>
      <c r="JDR66" s="5"/>
      <c r="JDS66" s="5"/>
      <c r="JDT66" s="5"/>
      <c r="JDU66" s="5"/>
      <c r="JDV66" s="5"/>
      <c r="JDW66" s="5"/>
      <c r="JDX66" s="5"/>
      <c r="JDY66" s="5"/>
      <c r="JDZ66" s="5"/>
      <c r="JEA66" s="5"/>
      <c r="JEB66" s="5"/>
      <c r="JEC66" s="5"/>
      <c r="JED66" s="5"/>
      <c r="JEE66" s="5"/>
      <c r="JEF66" s="5"/>
      <c r="JEG66" s="5"/>
      <c r="JEH66" s="5"/>
      <c r="JEI66" s="5"/>
      <c r="JEJ66" s="5"/>
      <c r="JEK66" s="5"/>
      <c r="JEL66" s="5"/>
      <c r="JEM66" s="5"/>
      <c r="JEN66" s="5"/>
      <c r="JEO66" s="5"/>
      <c r="JEP66" s="5"/>
      <c r="JEQ66" s="5"/>
      <c r="JER66" s="5"/>
      <c r="JES66" s="5"/>
      <c r="JET66" s="5"/>
      <c r="JEU66" s="5"/>
      <c r="JEV66" s="5"/>
      <c r="JEW66" s="5"/>
      <c r="JEX66" s="5"/>
      <c r="JEY66" s="5"/>
      <c r="JEZ66" s="5"/>
      <c r="JFA66" s="5"/>
      <c r="JFB66" s="5"/>
      <c r="JFC66" s="5"/>
      <c r="JFD66" s="5"/>
      <c r="JFE66" s="5"/>
      <c r="JFF66" s="5"/>
      <c r="JFG66" s="5"/>
      <c r="JFH66" s="5"/>
      <c r="JFI66" s="5"/>
      <c r="JFJ66" s="5"/>
      <c r="JFK66" s="5"/>
      <c r="JFL66" s="5"/>
      <c r="JFM66" s="5"/>
      <c r="JFN66" s="5"/>
      <c r="JFO66" s="5"/>
      <c r="JFP66" s="5"/>
      <c r="JFQ66" s="5"/>
      <c r="JFR66" s="5"/>
      <c r="JFS66" s="5"/>
      <c r="JFT66" s="5"/>
      <c r="JFU66" s="5"/>
      <c r="JFV66" s="5"/>
      <c r="JFW66" s="5"/>
      <c r="JFX66" s="5"/>
      <c r="JFY66" s="5"/>
      <c r="JFZ66" s="5"/>
      <c r="JGA66" s="5"/>
      <c r="JGB66" s="5"/>
      <c r="JGC66" s="5"/>
      <c r="JGD66" s="5"/>
      <c r="JGE66" s="5"/>
      <c r="JGF66" s="5"/>
      <c r="JGG66" s="5"/>
      <c r="JGH66" s="5"/>
      <c r="JGI66" s="5"/>
      <c r="JGJ66" s="5"/>
      <c r="JGK66" s="5"/>
      <c r="JGL66" s="5"/>
      <c r="JGM66" s="5"/>
      <c r="JGN66" s="5"/>
      <c r="JGO66" s="5"/>
      <c r="JGP66" s="5"/>
      <c r="JGQ66" s="5"/>
      <c r="JGR66" s="5"/>
      <c r="JGS66" s="5"/>
      <c r="JGT66" s="5"/>
      <c r="JGU66" s="5"/>
      <c r="JGV66" s="5"/>
      <c r="JGW66" s="5"/>
      <c r="JGX66" s="5"/>
      <c r="JGY66" s="5"/>
      <c r="JGZ66" s="5"/>
      <c r="JHA66" s="5"/>
      <c r="JHB66" s="5"/>
      <c r="JHC66" s="5"/>
      <c r="JHD66" s="5"/>
      <c r="JHE66" s="5"/>
      <c r="JHF66" s="5"/>
      <c r="JHG66" s="5"/>
      <c r="JHH66" s="5"/>
      <c r="JHI66" s="5"/>
      <c r="JHJ66" s="5"/>
      <c r="JHK66" s="5"/>
      <c r="JHL66" s="5"/>
      <c r="JHM66" s="5"/>
      <c r="JHN66" s="5"/>
      <c r="JHO66" s="5"/>
      <c r="JHP66" s="5"/>
      <c r="JHQ66" s="5"/>
      <c r="JHR66" s="5"/>
      <c r="JHS66" s="5"/>
      <c r="JHT66" s="5"/>
      <c r="JHU66" s="5"/>
      <c r="JHV66" s="5"/>
      <c r="JHW66" s="5"/>
      <c r="JHX66" s="5"/>
      <c r="JHY66" s="5"/>
      <c r="JHZ66" s="5"/>
      <c r="JIA66" s="5"/>
      <c r="JIB66" s="5"/>
      <c r="JIC66" s="5"/>
      <c r="JID66" s="5"/>
      <c r="JIE66" s="5"/>
      <c r="JIF66" s="5"/>
      <c r="JIG66" s="5"/>
      <c r="JIH66" s="5"/>
      <c r="JII66" s="5"/>
      <c r="JIJ66" s="5"/>
      <c r="JIK66" s="5"/>
      <c r="JIL66" s="5"/>
      <c r="JIM66" s="5"/>
      <c r="JIN66" s="5"/>
      <c r="JIO66" s="5"/>
      <c r="JIP66" s="5"/>
      <c r="JIQ66" s="5"/>
      <c r="JIR66" s="5"/>
      <c r="JIS66" s="5"/>
      <c r="JIT66" s="5"/>
      <c r="JIU66" s="5"/>
      <c r="JIV66" s="5"/>
      <c r="JIW66" s="5"/>
      <c r="JIX66" s="5"/>
      <c r="JIY66" s="5"/>
      <c r="JIZ66" s="5"/>
      <c r="JJA66" s="5"/>
      <c r="JJB66" s="5"/>
      <c r="JJC66" s="5"/>
      <c r="JJD66" s="5"/>
      <c r="JJE66" s="5"/>
      <c r="JJF66" s="5"/>
      <c r="JJG66" s="5"/>
      <c r="JJH66" s="5"/>
      <c r="JJI66" s="5"/>
      <c r="JJJ66" s="5"/>
      <c r="JJK66" s="5"/>
      <c r="JJL66" s="5"/>
      <c r="JJM66" s="5"/>
      <c r="JJN66" s="5"/>
      <c r="JJO66" s="5"/>
      <c r="JJP66" s="5"/>
      <c r="JJQ66" s="5"/>
      <c r="JJR66" s="5"/>
      <c r="JJS66" s="5"/>
      <c r="JJT66" s="5"/>
      <c r="JJU66" s="5"/>
      <c r="JJV66" s="5"/>
      <c r="JJW66" s="5"/>
      <c r="JJX66" s="5"/>
      <c r="JJY66" s="5"/>
      <c r="JJZ66" s="5"/>
      <c r="JKA66" s="5"/>
      <c r="JKB66" s="5"/>
      <c r="JKC66" s="5"/>
      <c r="JKD66" s="5"/>
      <c r="JKE66" s="5"/>
      <c r="JKF66" s="5"/>
      <c r="JKG66" s="5"/>
      <c r="JKH66" s="5"/>
      <c r="JKI66" s="5"/>
      <c r="JKJ66" s="5"/>
      <c r="JKK66" s="5"/>
      <c r="JKL66" s="5"/>
      <c r="JKM66" s="5"/>
      <c r="JKN66" s="5"/>
      <c r="JKO66" s="5"/>
      <c r="JKP66" s="5"/>
      <c r="JKQ66" s="5"/>
      <c r="JKR66" s="5"/>
      <c r="JKS66" s="5"/>
      <c r="JKT66" s="5"/>
      <c r="JKU66" s="5"/>
      <c r="JKV66" s="5"/>
      <c r="JKW66" s="5"/>
      <c r="JKX66" s="5"/>
      <c r="JKY66" s="5"/>
      <c r="JKZ66" s="5"/>
      <c r="JLA66" s="5"/>
      <c r="JLB66" s="5"/>
      <c r="JLC66" s="5"/>
      <c r="JLD66" s="5"/>
      <c r="JLE66" s="5"/>
      <c r="JLF66" s="5"/>
      <c r="JLG66" s="5"/>
      <c r="JLH66" s="5"/>
      <c r="JLI66" s="5"/>
      <c r="JLJ66" s="5"/>
      <c r="JLK66" s="5"/>
      <c r="JLL66" s="5"/>
      <c r="JLM66" s="5"/>
      <c r="JLN66" s="5"/>
      <c r="JLO66" s="5"/>
      <c r="JLP66" s="5"/>
      <c r="JLQ66" s="5"/>
      <c r="JLR66" s="5"/>
      <c r="JLS66" s="5"/>
      <c r="JLT66" s="5"/>
      <c r="JLU66" s="5"/>
      <c r="JLV66" s="5"/>
      <c r="JLW66" s="5"/>
      <c r="JLX66" s="5"/>
      <c r="JLY66" s="5"/>
      <c r="JLZ66" s="5"/>
      <c r="JMA66" s="5"/>
      <c r="JMB66" s="5"/>
      <c r="JMC66" s="5"/>
      <c r="JMD66" s="5"/>
      <c r="JME66" s="5"/>
      <c r="JMF66" s="5"/>
      <c r="JMG66" s="5"/>
      <c r="JMH66" s="5"/>
      <c r="JMI66" s="5"/>
      <c r="JMJ66" s="5"/>
      <c r="JMK66" s="5"/>
      <c r="JML66" s="5"/>
      <c r="JMM66" s="5"/>
      <c r="JMN66" s="5"/>
      <c r="JMO66" s="5"/>
      <c r="JMP66" s="5"/>
      <c r="JMQ66" s="5"/>
      <c r="JMR66" s="5"/>
      <c r="JMS66" s="5"/>
      <c r="JMT66" s="5"/>
      <c r="JMU66" s="5"/>
      <c r="JMV66" s="5"/>
      <c r="JMW66" s="5"/>
      <c r="JMX66" s="5"/>
      <c r="JMY66" s="5"/>
      <c r="JMZ66" s="5"/>
      <c r="JNA66" s="5"/>
      <c r="JNB66" s="5"/>
      <c r="JNC66" s="5"/>
      <c r="JND66" s="5"/>
      <c r="JNE66" s="5"/>
      <c r="JNF66" s="5"/>
      <c r="JNG66" s="5"/>
      <c r="JNH66" s="5"/>
      <c r="JNI66" s="5"/>
      <c r="JNJ66" s="5"/>
      <c r="JNK66" s="5"/>
      <c r="JNL66" s="5"/>
      <c r="JNM66" s="5"/>
      <c r="JNN66" s="5"/>
      <c r="JNO66" s="5"/>
      <c r="JNP66" s="5"/>
      <c r="JNQ66" s="5"/>
      <c r="JNR66" s="5"/>
      <c r="JNS66" s="5"/>
      <c r="JNT66" s="5"/>
      <c r="JNU66" s="5"/>
      <c r="JNV66" s="5"/>
      <c r="JNW66" s="5"/>
      <c r="JNX66" s="5"/>
      <c r="JNY66" s="5"/>
      <c r="JNZ66" s="5"/>
      <c r="JOA66" s="5"/>
      <c r="JOB66" s="5"/>
      <c r="JOC66" s="5"/>
      <c r="JOD66" s="5"/>
      <c r="JOE66" s="5"/>
      <c r="JOF66" s="5"/>
      <c r="JOG66" s="5"/>
      <c r="JOH66" s="5"/>
      <c r="JOI66" s="5"/>
      <c r="JOJ66" s="5"/>
      <c r="JOK66" s="5"/>
      <c r="JOL66" s="5"/>
      <c r="JOM66" s="5"/>
      <c r="JON66" s="5"/>
      <c r="JOO66" s="5"/>
      <c r="JOP66" s="5"/>
      <c r="JOQ66" s="5"/>
      <c r="JOR66" s="5"/>
      <c r="JOS66" s="5"/>
      <c r="JOT66" s="5"/>
      <c r="JOU66" s="5"/>
      <c r="JOV66" s="5"/>
      <c r="JOW66" s="5"/>
      <c r="JOX66" s="5"/>
      <c r="JOY66" s="5"/>
      <c r="JOZ66" s="5"/>
      <c r="JPA66" s="5"/>
      <c r="JPB66" s="5"/>
      <c r="JPC66" s="5"/>
      <c r="JPD66" s="5"/>
      <c r="JPE66" s="5"/>
      <c r="JPF66" s="5"/>
      <c r="JPG66" s="5"/>
      <c r="JPH66" s="5"/>
      <c r="JPI66" s="5"/>
      <c r="JPJ66" s="5"/>
      <c r="JPK66" s="5"/>
      <c r="JPL66" s="5"/>
      <c r="JPM66" s="5"/>
      <c r="JPN66" s="5"/>
      <c r="JPO66" s="5"/>
      <c r="JPP66" s="5"/>
      <c r="JPQ66" s="5"/>
      <c r="JPR66" s="5"/>
      <c r="JPS66" s="5"/>
      <c r="JPT66" s="5"/>
      <c r="JPU66" s="5"/>
      <c r="JPV66" s="5"/>
      <c r="JPW66" s="5"/>
      <c r="JPX66" s="5"/>
      <c r="JPY66" s="5"/>
      <c r="JPZ66" s="5"/>
      <c r="JQA66" s="5"/>
      <c r="JQB66" s="5"/>
      <c r="JQC66" s="5"/>
      <c r="JQD66" s="5"/>
      <c r="JQE66" s="5"/>
      <c r="JQF66" s="5"/>
      <c r="JQG66" s="5"/>
      <c r="JQH66" s="5"/>
      <c r="JQI66" s="5"/>
      <c r="JQJ66" s="5"/>
      <c r="JQK66" s="5"/>
      <c r="JQL66" s="5"/>
      <c r="JQM66" s="5"/>
      <c r="JQN66" s="5"/>
      <c r="JQO66" s="5"/>
      <c r="JQP66" s="5"/>
      <c r="JQQ66" s="5"/>
      <c r="JQR66" s="5"/>
      <c r="JQS66" s="5"/>
      <c r="JQT66" s="5"/>
      <c r="JQU66" s="5"/>
      <c r="JQV66" s="5"/>
      <c r="JQW66" s="5"/>
      <c r="JQX66" s="5"/>
      <c r="JQY66" s="5"/>
      <c r="JQZ66" s="5"/>
      <c r="JRA66" s="5"/>
      <c r="JRB66" s="5"/>
      <c r="JRC66" s="5"/>
      <c r="JRD66" s="5"/>
      <c r="JRE66" s="5"/>
      <c r="JRF66" s="5"/>
      <c r="JRG66" s="5"/>
      <c r="JRH66" s="5"/>
      <c r="JRI66" s="5"/>
      <c r="JRJ66" s="5"/>
      <c r="JRK66" s="5"/>
      <c r="JRL66" s="5"/>
      <c r="JRM66" s="5"/>
      <c r="JRN66" s="5"/>
      <c r="JRO66" s="5"/>
      <c r="JRP66" s="5"/>
      <c r="JRQ66" s="5"/>
      <c r="JRR66" s="5"/>
      <c r="JRS66" s="5"/>
      <c r="JRT66" s="5"/>
      <c r="JRU66" s="5"/>
      <c r="JRV66" s="5"/>
      <c r="JRW66" s="5"/>
      <c r="JRX66" s="5"/>
      <c r="JRY66" s="5"/>
      <c r="JRZ66" s="5"/>
      <c r="JSA66" s="5"/>
      <c r="JSB66" s="5"/>
      <c r="JSC66" s="5"/>
      <c r="JSD66" s="5"/>
      <c r="JSE66" s="5"/>
      <c r="JSF66" s="5"/>
      <c r="JSG66" s="5"/>
      <c r="JSH66" s="5"/>
      <c r="JSI66" s="5"/>
      <c r="JSJ66" s="5"/>
      <c r="JSK66" s="5"/>
      <c r="JSL66" s="5"/>
      <c r="JSM66" s="5"/>
      <c r="JSN66" s="5"/>
      <c r="JSO66" s="5"/>
      <c r="JSP66" s="5"/>
      <c r="JSQ66" s="5"/>
      <c r="JSR66" s="5"/>
      <c r="JSS66" s="5"/>
      <c r="JST66" s="5"/>
      <c r="JSU66" s="5"/>
      <c r="JSV66" s="5"/>
      <c r="JSW66" s="5"/>
      <c r="JSX66" s="5"/>
      <c r="JSY66" s="5"/>
      <c r="JSZ66" s="5"/>
      <c r="JTA66" s="5"/>
      <c r="JTB66" s="5"/>
      <c r="JTC66" s="5"/>
      <c r="JTD66" s="5"/>
      <c r="JTE66" s="5"/>
      <c r="JTF66" s="5"/>
      <c r="JTG66" s="5"/>
      <c r="JTH66" s="5"/>
      <c r="JTI66" s="5"/>
      <c r="JTJ66" s="5"/>
      <c r="JTK66" s="5"/>
      <c r="JTL66" s="5"/>
      <c r="JTM66" s="5"/>
      <c r="JTN66" s="5"/>
      <c r="JTO66" s="5"/>
      <c r="JTP66" s="5"/>
      <c r="JTQ66" s="5"/>
      <c r="JTR66" s="5"/>
      <c r="JTS66" s="5"/>
      <c r="JTT66" s="5"/>
      <c r="JTU66" s="5"/>
      <c r="JTV66" s="5"/>
      <c r="JTW66" s="5"/>
      <c r="JTX66" s="5"/>
      <c r="JTY66" s="5"/>
      <c r="JTZ66" s="5"/>
      <c r="JUA66" s="5"/>
      <c r="JUB66" s="5"/>
      <c r="JUC66" s="5"/>
      <c r="JUD66" s="5"/>
      <c r="JUE66" s="5"/>
      <c r="JUF66" s="5"/>
      <c r="JUG66" s="5"/>
      <c r="JUH66" s="5"/>
      <c r="JUI66" s="5"/>
      <c r="JUJ66" s="5"/>
      <c r="JUK66" s="5"/>
      <c r="JUL66" s="5"/>
      <c r="JUM66" s="5"/>
      <c r="JUN66" s="5"/>
      <c r="JUO66" s="5"/>
      <c r="JUP66" s="5"/>
      <c r="JUQ66" s="5"/>
      <c r="JUR66" s="5"/>
      <c r="JUS66" s="5"/>
      <c r="JUT66" s="5"/>
      <c r="JUU66" s="5"/>
      <c r="JUV66" s="5"/>
      <c r="JUW66" s="5"/>
      <c r="JUX66" s="5"/>
      <c r="JUY66" s="5"/>
      <c r="JUZ66" s="5"/>
      <c r="JVA66" s="5"/>
      <c r="JVB66" s="5"/>
      <c r="JVC66" s="5"/>
      <c r="JVD66" s="5"/>
      <c r="JVE66" s="5"/>
      <c r="JVF66" s="5"/>
      <c r="JVG66" s="5"/>
      <c r="JVH66" s="5"/>
      <c r="JVI66" s="5"/>
      <c r="JVJ66" s="5"/>
      <c r="JVK66" s="5"/>
      <c r="JVL66" s="5"/>
      <c r="JVM66" s="5"/>
      <c r="JVN66" s="5"/>
      <c r="JVO66" s="5"/>
      <c r="JVP66" s="5"/>
      <c r="JVQ66" s="5"/>
      <c r="JVR66" s="5"/>
      <c r="JVS66" s="5"/>
      <c r="JVT66" s="5"/>
      <c r="JVU66" s="5"/>
      <c r="JVV66" s="5"/>
      <c r="JVW66" s="5"/>
      <c r="JVX66" s="5"/>
      <c r="JVY66" s="5"/>
      <c r="JVZ66" s="5"/>
      <c r="JWA66" s="5"/>
      <c r="JWB66" s="5"/>
      <c r="JWC66" s="5"/>
      <c r="JWD66" s="5"/>
      <c r="JWE66" s="5"/>
      <c r="JWF66" s="5"/>
      <c r="JWG66" s="5"/>
      <c r="JWH66" s="5"/>
      <c r="JWI66" s="5"/>
      <c r="JWJ66" s="5"/>
      <c r="JWK66" s="5"/>
      <c r="JWL66" s="5"/>
      <c r="JWM66" s="5"/>
      <c r="JWN66" s="5"/>
      <c r="JWO66" s="5"/>
      <c r="JWP66" s="5"/>
      <c r="JWQ66" s="5"/>
      <c r="JWR66" s="5"/>
      <c r="JWS66" s="5"/>
      <c r="JWT66" s="5"/>
      <c r="JWU66" s="5"/>
      <c r="JWV66" s="5"/>
      <c r="JWW66" s="5"/>
      <c r="JWX66" s="5"/>
      <c r="JWY66" s="5"/>
      <c r="JWZ66" s="5"/>
      <c r="JXA66" s="5"/>
      <c r="JXB66" s="5"/>
      <c r="JXC66" s="5"/>
      <c r="JXD66" s="5"/>
      <c r="JXE66" s="5"/>
      <c r="JXF66" s="5"/>
      <c r="JXG66" s="5"/>
      <c r="JXH66" s="5"/>
      <c r="JXI66" s="5"/>
      <c r="JXJ66" s="5"/>
      <c r="JXK66" s="5"/>
      <c r="JXL66" s="5"/>
      <c r="JXM66" s="5"/>
      <c r="JXN66" s="5"/>
      <c r="JXO66" s="5"/>
      <c r="JXP66" s="5"/>
      <c r="JXQ66" s="5"/>
      <c r="JXR66" s="5"/>
      <c r="JXS66" s="5"/>
      <c r="JXT66" s="5"/>
      <c r="JXU66" s="5"/>
      <c r="JXV66" s="5"/>
      <c r="JXW66" s="5"/>
      <c r="JXX66" s="5"/>
      <c r="JXY66" s="5"/>
      <c r="JXZ66" s="5"/>
      <c r="JYA66" s="5"/>
      <c r="JYB66" s="5"/>
      <c r="JYC66" s="5"/>
      <c r="JYD66" s="5"/>
      <c r="JYE66" s="5"/>
      <c r="JYF66" s="5"/>
      <c r="JYG66" s="5"/>
      <c r="JYH66" s="5"/>
      <c r="JYI66" s="5"/>
      <c r="JYJ66" s="5"/>
      <c r="JYK66" s="5"/>
      <c r="JYL66" s="5"/>
      <c r="JYM66" s="5"/>
      <c r="JYN66" s="5"/>
      <c r="JYO66" s="5"/>
      <c r="JYP66" s="5"/>
      <c r="JYQ66" s="5"/>
      <c r="JYR66" s="5"/>
      <c r="JYS66" s="5"/>
      <c r="JYT66" s="5"/>
      <c r="JYU66" s="5"/>
      <c r="JYV66" s="5"/>
      <c r="JYW66" s="5"/>
      <c r="JYX66" s="5"/>
      <c r="JYY66" s="5"/>
      <c r="JYZ66" s="5"/>
      <c r="JZA66" s="5"/>
      <c r="JZB66" s="5"/>
      <c r="JZC66" s="5"/>
      <c r="JZD66" s="5"/>
      <c r="JZE66" s="5"/>
      <c r="JZF66" s="5"/>
      <c r="JZG66" s="5"/>
      <c r="JZH66" s="5"/>
      <c r="JZI66" s="5"/>
      <c r="JZJ66" s="5"/>
      <c r="JZK66" s="5"/>
      <c r="JZL66" s="5"/>
      <c r="JZM66" s="5"/>
      <c r="JZN66" s="5"/>
      <c r="JZO66" s="5"/>
      <c r="JZP66" s="5"/>
      <c r="JZQ66" s="5"/>
      <c r="JZR66" s="5"/>
      <c r="JZS66" s="5"/>
      <c r="JZT66" s="5"/>
      <c r="JZU66" s="5"/>
      <c r="JZV66" s="5"/>
      <c r="JZW66" s="5"/>
      <c r="JZX66" s="5"/>
      <c r="JZY66" s="5"/>
      <c r="JZZ66" s="5"/>
      <c r="KAA66" s="5"/>
      <c r="KAB66" s="5"/>
      <c r="KAC66" s="5"/>
      <c r="KAD66" s="5"/>
      <c r="KAE66" s="5"/>
      <c r="KAF66" s="5"/>
      <c r="KAG66" s="5"/>
      <c r="KAH66" s="5"/>
      <c r="KAI66" s="5"/>
      <c r="KAJ66" s="5"/>
      <c r="KAK66" s="5"/>
      <c r="KAL66" s="5"/>
      <c r="KAM66" s="5"/>
      <c r="KAN66" s="5"/>
      <c r="KAO66" s="5"/>
      <c r="KAP66" s="5"/>
      <c r="KAQ66" s="5"/>
      <c r="KAR66" s="5"/>
      <c r="KAS66" s="5"/>
      <c r="KAT66" s="5"/>
      <c r="KAU66" s="5"/>
      <c r="KAV66" s="5"/>
      <c r="KAW66" s="5"/>
      <c r="KAX66" s="5"/>
      <c r="KAY66" s="5"/>
      <c r="KAZ66" s="5"/>
      <c r="KBA66" s="5"/>
      <c r="KBB66" s="5"/>
      <c r="KBC66" s="5"/>
      <c r="KBD66" s="5"/>
      <c r="KBE66" s="5"/>
      <c r="KBF66" s="5"/>
      <c r="KBG66" s="5"/>
      <c r="KBH66" s="5"/>
      <c r="KBI66" s="5"/>
      <c r="KBJ66" s="5"/>
      <c r="KBK66" s="5"/>
      <c r="KBL66" s="5"/>
      <c r="KBM66" s="5"/>
      <c r="KBN66" s="5"/>
      <c r="KBO66" s="5"/>
      <c r="KBP66" s="5"/>
      <c r="KBQ66" s="5"/>
      <c r="KBR66" s="5"/>
      <c r="KBS66" s="5"/>
      <c r="KBT66" s="5"/>
      <c r="KBU66" s="5"/>
      <c r="KBV66" s="5"/>
      <c r="KBW66" s="5"/>
      <c r="KBX66" s="5"/>
      <c r="KBY66" s="5"/>
      <c r="KBZ66" s="5"/>
      <c r="KCA66" s="5"/>
      <c r="KCB66" s="5"/>
      <c r="KCC66" s="5"/>
      <c r="KCD66" s="5"/>
      <c r="KCE66" s="5"/>
      <c r="KCF66" s="5"/>
      <c r="KCG66" s="5"/>
      <c r="KCH66" s="5"/>
      <c r="KCI66" s="5"/>
      <c r="KCJ66" s="5"/>
      <c r="KCK66" s="5"/>
      <c r="KCL66" s="5"/>
      <c r="KCM66" s="5"/>
      <c r="KCN66" s="5"/>
      <c r="KCO66" s="5"/>
      <c r="KCP66" s="5"/>
      <c r="KCQ66" s="5"/>
      <c r="KCR66" s="5"/>
      <c r="KCS66" s="5"/>
      <c r="KCT66" s="5"/>
      <c r="KCU66" s="5"/>
      <c r="KCV66" s="5"/>
      <c r="KCW66" s="5"/>
      <c r="KCX66" s="5"/>
      <c r="KCY66" s="5"/>
      <c r="KCZ66" s="5"/>
      <c r="KDA66" s="5"/>
      <c r="KDB66" s="5"/>
      <c r="KDC66" s="5"/>
      <c r="KDD66" s="5"/>
      <c r="KDE66" s="5"/>
      <c r="KDF66" s="5"/>
      <c r="KDG66" s="5"/>
      <c r="KDH66" s="5"/>
      <c r="KDI66" s="5"/>
      <c r="KDJ66" s="5"/>
      <c r="KDK66" s="5"/>
      <c r="KDL66" s="5"/>
      <c r="KDM66" s="5"/>
      <c r="KDN66" s="5"/>
      <c r="KDO66" s="5"/>
      <c r="KDP66" s="5"/>
      <c r="KDQ66" s="5"/>
      <c r="KDR66" s="5"/>
      <c r="KDS66" s="5"/>
      <c r="KDT66" s="5"/>
      <c r="KDU66" s="5"/>
      <c r="KDV66" s="5"/>
      <c r="KDW66" s="5"/>
      <c r="KDX66" s="5"/>
      <c r="KDY66" s="5"/>
      <c r="KDZ66" s="5"/>
      <c r="KEA66" s="5"/>
      <c r="KEB66" s="5"/>
      <c r="KEC66" s="5"/>
      <c r="KED66" s="5"/>
      <c r="KEE66" s="5"/>
      <c r="KEF66" s="5"/>
      <c r="KEG66" s="5"/>
      <c r="KEH66" s="5"/>
      <c r="KEI66" s="5"/>
      <c r="KEJ66" s="5"/>
      <c r="KEK66" s="5"/>
      <c r="KEL66" s="5"/>
      <c r="KEM66" s="5"/>
      <c r="KEN66" s="5"/>
      <c r="KEO66" s="5"/>
      <c r="KEP66" s="5"/>
      <c r="KEQ66" s="5"/>
      <c r="KER66" s="5"/>
      <c r="KES66" s="5"/>
      <c r="KET66" s="5"/>
      <c r="KEU66" s="5"/>
      <c r="KEV66" s="5"/>
      <c r="KEW66" s="5"/>
      <c r="KEX66" s="5"/>
      <c r="KEY66" s="5"/>
      <c r="KEZ66" s="5"/>
      <c r="KFA66" s="5"/>
      <c r="KFB66" s="5"/>
      <c r="KFC66" s="5"/>
      <c r="KFD66" s="5"/>
      <c r="KFE66" s="5"/>
      <c r="KFF66" s="5"/>
      <c r="KFG66" s="5"/>
      <c r="KFH66" s="5"/>
      <c r="KFI66" s="5"/>
      <c r="KFJ66" s="5"/>
      <c r="KFK66" s="5"/>
      <c r="KFL66" s="5"/>
      <c r="KFM66" s="5"/>
      <c r="KFN66" s="5"/>
      <c r="KFO66" s="5"/>
      <c r="KFP66" s="5"/>
      <c r="KFQ66" s="5"/>
      <c r="KFR66" s="5"/>
      <c r="KFS66" s="5"/>
      <c r="KFT66" s="5"/>
      <c r="KFU66" s="5"/>
      <c r="KFV66" s="5"/>
      <c r="KFW66" s="5"/>
      <c r="KFX66" s="5"/>
      <c r="KFY66" s="5"/>
      <c r="KFZ66" s="5"/>
      <c r="KGA66" s="5"/>
      <c r="KGB66" s="5"/>
      <c r="KGC66" s="5"/>
      <c r="KGD66" s="5"/>
      <c r="KGE66" s="5"/>
      <c r="KGF66" s="5"/>
      <c r="KGG66" s="5"/>
      <c r="KGH66" s="5"/>
      <c r="KGI66" s="5"/>
      <c r="KGJ66" s="5"/>
      <c r="KGK66" s="5"/>
      <c r="KGL66" s="5"/>
      <c r="KGM66" s="5"/>
      <c r="KGN66" s="5"/>
      <c r="KGO66" s="5"/>
      <c r="KGP66" s="5"/>
      <c r="KGQ66" s="5"/>
      <c r="KGR66" s="5"/>
      <c r="KGS66" s="5"/>
      <c r="KGT66" s="5"/>
      <c r="KGU66" s="5"/>
      <c r="KGV66" s="5"/>
      <c r="KGW66" s="5"/>
      <c r="KGX66" s="5"/>
      <c r="KGY66" s="5"/>
      <c r="KGZ66" s="5"/>
      <c r="KHA66" s="5"/>
      <c r="KHB66" s="5"/>
      <c r="KHC66" s="5"/>
      <c r="KHD66" s="5"/>
      <c r="KHE66" s="5"/>
      <c r="KHF66" s="5"/>
      <c r="KHG66" s="5"/>
      <c r="KHH66" s="5"/>
      <c r="KHI66" s="5"/>
      <c r="KHJ66" s="5"/>
      <c r="KHK66" s="5"/>
      <c r="KHL66" s="5"/>
      <c r="KHM66" s="5"/>
      <c r="KHN66" s="5"/>
      <c r="KHO66" s="5"/>
      <c r="KHP66" s="5"/>
      <c r="KHQ66" s="5"/>
      <c r="KHR66" s="5"/>
      <c r="KHS66" s="5"/>
      <c r="KHT66" s="5"/>
      <c r="KHU66" s="5"/>
      <c r="KHV66" s="5"/>
      <c r="KHW66" s="5"/>
      <c r="KHX66" s="5"/>
      <c r="KHY66" s="5"/>
      <c r="KHZ66" s="5"/>
      <c r="KIA66" s="5"/>
      <c r="KIB66" s="5"/>
      <c r="KIC66" s="5"/>
      <c r="KID66" s="5"/>
      <c r="KIE66" s="5"/>
      <c r="KIF66" s="5"/>
      <c r="KIG66" s="5"/>
      <c r="KIH66" s="5"/>
      <c r="KII66" s="5"/>
      <c r="KIJ66" s="5"/>
      <c r="KIK66" s="5"/>
      <c r="KIL66" s="5"/>
      <c r="KIM66" s="5"/>
      <c r="KIN66" s="5"/>
      <c r="KIO66" s="5"/>
      <c r="KIP66" s="5"/>
      <c r="KIQ66" s="5"/>
      <c r="KIR66" s="5"/>
      <c r="KIS66" s="5"/>
      <c r="KIT66" s="5"/>
      <c r="KIU66" s="5"/>
      <c r="KIV66" s="5"/>
      <c r="KIW66" s="5"/>
      <c r="KIX66" s="5"/>
      <c r="KIY66" s="5"/>
      <c r="KIZ66" s="5"/>
      <c r="KJA66" s="5"/>
      <c r="KJB66" s="5"/>
      <c r="KJC66" s="5"/>
      <c r="KJD66" s="5"/>
      <c r="KJE66" s="5"/>
      <c r="KJF66" s="5"/>
      <c r="KJG66" s="5"/>
      <c r="KJH66" s="5"/>
      <c r="KJI66" s="5"/>
      <c r="KJJ66" s="5"/>
      <c r="KJK66" s="5"/>
      <c r="KJL66" s="5"/>
      <c r="KJM66" s="5"/>
      <c r="KJN66" s="5"/>
      <c r="KJO66" s="5"/>
      <c r="KJP66" s="5"/>
      <c r="KJQ66" s="5"/>
      <c r="KJR66" s="5"/>
      <c r="KJS66" s="5"/>
      <c r="KJT66" s="5"/>
      <c r="KJU66" s="5"/>
      <c r="KJV66" s="5"/>
      <c r="KJW66" s="5"/>
      <c r="KJX66" s="5"/>
      <c r="KJY66" s="5"/>
      <c r="KJZ66" s="5"/>
      <c r="KKA66" s="5"/>
      <c r="KKB66" s="5"/>
      <c r="KKC66" s="5"/>
      <c r="KKD66" s="5"/>
      <c r="KKE66" s="5"/>
      <c r="KKF66" s="5"/>
      <c r="KKG66" s="5"/>
      <c r="KKH66" s="5"/>
      <c r="KKI66" s="5"/>
      <c r="KKJ66" s="5"/>
      <c r="KKK66" s="5"/>
      <c r="KKL66" s="5"/>
      <c r="KKM66" s="5"/>
      <c r="KKN66" s="5"/>
      <c r="KKO66" s="5"/>
      <c r="KKP66" s="5"/>
      <c r="KKQ66" s="5"/>
      <c r="KKR66" s="5"/>
      <c r="KKS66" s="5"/>
      <c r="KKT66" s="5"/>
      <c r="KKU66" s="5"/>
      <c r="KKV66" s="5"/>
      <c r="KKW66" s="5"/>
      <c r="KKX66" s="5"/>
      <c r="KKY66" s="5"/>
      <c r="KKZ66" s="5"/>
      <c r="KLA66" s="5"/>
      <c r="KLB66" s="5"/>
      <c r="KLC66" s="5"/>
      <c r="KLD66" s="5"/>
      <c r="KLE66" s="5"/>
      <c r="KLF66" s="5"/>
      <c r="KLG66" s="5"/>
      <c r="KLH66" s="5"/>
      <c r="KLI66" s="5"/>
      <c r="KLJ66" s="5"/>
      <c r="KLK66" s="5"/>
      <c r="KLL66" s="5"/>
      <c r="KLM66" s="5"/>
      <c r="KLN66" s="5"/>
      <c r="KLO66" s="5"/>
      <c r="KLP66" s="5"/>
      <c r="KLQ66" s="5"/>
      <c r="KLR66" s="5"/>
      <c r="KLS66" s="5"/>
      <c r="KLT66" s="5"/>
      <c r="KLU66" s="5"/>
      <c r="KLV66" s="5"/>
      <c r="KLW66" s="5"/>
      <c r="KLX66" s="5"/>
      <c r="KLY66" s="5"/>
      <c r="KLZ66" s="5"/>
      <c r="KMA66" s="5"/>
      <c r="KMB66" s="5"/>
      <c r="KMC66" s="5"/>
      <c r="KMD66" s="5"/>
      <c r="KME66" s="5"/>
      <c r="KMF66" s="5"/>
      <c r="KMG66" s="5"/>
      <c r="KMH66" s="5"/>
      <c r="KMI66" s="5"/>
      <c r="KMJ66" s="5"/>
      <c r="KMK66" s="5"/>
      <c r="KML66" s="5"/>
      <c r="KMM66" s="5"/>
      <c r="KMN66" s="5"/>
      <c r="KMO66" s="5"/>
      <c r="KMP66" s="5"/>
      <c r="KMQ66" s="5"/>
      <c r="KMR66" s="5"/>
      <c r="KMS66" s="5"/>
      <c r="KMT66" s="5"/>
      <c r="KMU66" s="5"/>
      <c r="KMV66" s="5"/>
      <c r="KMW66" s="5"/>
      <c r="KMX66" s="5"/>
      <c r="KMY66" s="5"/>
      <c r="KMZ66" s="5"/>
      <c r="KNA66" s="5"/>
      <c r="KNB66" s="5"/>
      <c r="KNC66" s="5"/>
      <c r="KND66" s="5"/>
      <c r="KNE66" s="5"/>
      <c r="KNF66" s="5"/>
      <c r="KNG66" s="5"/>
      <c r="KNH66" s="5"/>
      <c r="KNI66" s="5"/>
      <c r="KNJ66" s="5"/>
      <c r="KNK66" s="5"/>
      <c r="KNL66" s="5"/>
      <c r="KNM66" s="5"/>
      <c r="KNN66" s="5"/>
      <c r="KNO66" s="5"/>
      <c r="KNP66" s="5"/>
      <c r="KNQ66" s="5"/>
      <c r="KNR66" s="5"/>
      <c r="KNS66" s="5"/>
      <c r="KNT66" s="5"/>
      <c r="KNU66" s="5"/>
      <c r="KNV66" s="5"/>
      <c r="KNW66" s="5"/>
      <c r="KNX66" s="5"/>
      <c r="KNY66" s="5"/>
      <c r="KNZ66" s="5"/>
      <c r="KOA66" s="5"/>
      <c r="KOB66" s="5"/>
      <c r="KOC66" s="5"/>
      <c r="KOD66" s="5"/>
      <c r="KOE66" s="5"/>
      <c r="KOF66" s="5"/>
      <c r="KOG66" s="5"/>
      <c r="KOH66" s="5"/>
      <c r="KOI66" s="5"/>
      <c r="KOJ66" s="5"/>
      <c r="KOK66" s="5"/>
      <c r="KOL66" s="5"/>
      <c r="KOM66" s="5"/>
      <c r="KON66" s="5"/>
      <c r="KOO66" s="5"/>
      <c r="KOP66" s="5"/>
      <c r="KOQ66" s="5"/>
      <c r="KOR66" s="5"/>
      <c r="KOS66" s="5"/>
      <c r="KOT66" s="5"/>
      <c r="KOU66" s="5"/>
      <c r="KOV66" s="5"/>
      <c r="KOW66" s="5"/>
      <c r="KOX66" s="5"/>
      <c r="KOY66" s="5"/>
      <c r="KOZ66" s="5"/>
      <c r="KPA66" s="5"/>
      <c r="KPB66" s="5"/>
      <c r="KPC66" s="5"/>
      <c r="KPD66" s="5"/>
      <c r="KPE66" s="5"/>
      <c r="KPF66" s="5"/>
      <c r="KPG66" s="5"/>
      <c r="KPH66" s="5"/>
      <c r="KPI66" s="5"/>
      <c r="KPJ66" s="5"/>
      <c r="KPK66" s="5"/>
      <c r="KPL66" s="5"/>
      <c r="KPM66" s="5"/>
      <c r="KPN66" s="5"/>
      <c r="KPO66" s="5"/>
      <c r="KPP66" s="5"/>
      <c r="KPQ66" s="5"/>
      <c r="KPR66" s="5"/>
      <c r="KPS66" s="5"/>
      <c r="KPT66" s="5"/>
      <c r="KPU66" s="5"/>
      <c r="KPV66" s="5"/>
      <c r="KPW66" s="5"/>
      <c r="KPX66" s="5"/>
      <c r="KPY66" s="5"/>
      <c r="KPZ66" s="5"/>
      <c r="KQA66" s="5"/>
      <c r="KQB66" s="5"/>
      <c r="KQC66" s="5"/>
      <c r="KQD66" s="5"/>
      <c r="KQE66" s="5"/>
      <c r="KQF66" s="5"/>
      <c r="KQG66" s="5"/>
      <c r="KQH66" s="5"/>
      <c r="KQI66" s="5"/>
      <c r="KQJ66" s="5"/>
      <c r="KQK66" s="5"/>
      <c r="KQL66" s="5"/>
      <c r="KQM66" s="5"/>
      <c r="KQN66" s="5"/>
      <c r="KQO66" s="5"/>
      <c r="KQP66" s="5"/>
      <c r="KQQ66" s="5"/>
      <c r="KQR66" s="5"/>
      <c r="KQS66" s="5"/>
      <c r="KQT66" s="5"/>
      <c r="KQU66" s="5"/>
      <c r="KQV66" s="5"/>
      <c r="KQW66" s="5"/>
      <c r="KQX66" s="5"/>
      <c r="KQY66" s="5"/>
      <c r="KQZ66" s="5"/>
      <c r="KRA66" s="5"/>
      <c r="KRB66" s="5"/>
      <c r="KRC66" s="5"/>
      <c r="KRD66" s="5"/>
      <c r="KRE66" s="5"/>
      <c r="KRF66" s="5"/>
      <c r="KRG66" s="5"/>
      <c r="KRH66" s="5"/>
      <c r="KRI66" s="5"/>
      <c r="KRJ66" s="5"/>
      <c r="KRK66" s="5"/>
      <c r="KRL66" s="5"/>
      <c r="KRM66" s="5"/>
      <c r="KRN66" s="5"/>
      <c r="KRO66" s="5"/>
      <c r="KRP66" s="5"/>
      <c r="KRQ66" s="5"/>
      <c r="KRR66" s="5"/>
      <c r="KRS66" s="5"/>
      <c r="KRT66" s="5"/>
      <c r="KRU66" s="5"/>
      <c r="KRV66" s="5"/>
      <c r="KRW66" s="5"/>
      <c r="KRX66" s="5"/>
      <c r="KRY66" s="5"/>
      <c r="KRZ66" s="5"/>
      <c r="KSA66" s="5"/>
      <c r="KSB66" s="5"/>
      <c r="KSC66" s="5"/>
      <c r="KSD66" s="5"/>
      <c r="KSE66" s="5"/>
      <c r="KSF66" s="5"/>
      <c r="KSG66" s="5"/>
      <c r="KSH66" s="5"/>
      <c r="KSI66" s="5"/>
      <c r="KSJ66" s="5"/>
      <c r="KSK66" s="5"/>
      <c r="KSL66" s="5"/>
      <c r="KSM66" s="5"/>
      <c r="KSN66" s="5"/>
      <c r="KSO66" s="5"/>
      <c r="KSP66" s="5"/>
      <c r="KSQ66" s="5"/>
      <c r="KSR66" s="5"/>
      <c r="KSS66" s="5"/>
      <c r="KST66" s="5"/>
      <c r="KSU66" s="5"/>
      <c r="KSV66" s="5"/>
      <c r="KSW66" s="5"/>
      <c r="KSX66" s="5"/>
      <c r="KSY66" s="5"/>
      <c r="KSZ66" s="5"/>
      <c r="KTA66" s="5"/>
      <c r="KTB66" s="5"/>
      <c r="KTC66" s="5"/>
      <c r="KTD66" s="5"/>
      <c r="KTE66" s="5"/>
      <c r="KTF66" s="5"/>
      <c r="KTG66" s="5"/>
      <c r="KTH66" s="5"/>
      <c r="KTI66" s="5"/>
      <c r="KTJ66" s="5"/>
      <c r="KTK66" s="5"/>
      <c r="KTL66" s="5"/>
      <c r="KTM66" s="5"/>
      <c r="KTN66" s="5"/>
      <c r="KTO66" s="5"/>
      <c r="KTP66" s="5"/>
      <c r="KTQ66" s="5"/>
      <c r="KTR66" s="5"/>
      <c r="KTS66" s="5"/>
      <c r="KTT66" s="5"/>
      <c r="KTU66" s="5"/>
      <c r="KTV66" s="5"/>
      <c r="KTW66" s="5"/>
      <c r="KTX66" s="5"/>
      <c r="KTY66" s="5"/>
      <c r="KTZ66" s="5"/>
      <c r="KUA66" s="5"/>
      <c r="KUB66" s="5"/>
      <c r="KUC66" s="5"/>
      <c r="KUD66" s="5"/>
      <c r="KUE66" s="5"/>
      <c r="KUF66" s="5"/>
      <c r="KUG66" s="5"/>
      <c r="KUH66" s="5"/>
      <c r="KUI66" s="5"/>
      <c r="KUJ66" s="5"/>
      <c r="KUK66" s="5"/>
      <c r="KUL66" s="5"/>
      <c r="KUM66" s="5"/>
      <c r="KUN66" s="5"/>
      <c r="KUO66" s="5"/>
      <c r="KUP66" s="5"/>
      <c r="KUQ66" s="5"/>
      <c r="KUR66" s="5"/>
      <c r="KUS66" s="5"/>
      <c r="KUT66" s="5"/>
      <c r="KUU66" s="5"/>
      <c r="KUV66" s="5"/>
      <c r="KUW66" s="5"/>
      <c r="KUX66" s="5"/>
      <c r="KUY66" s="5"/>
      <c r="KUZ66" s="5"/>
      <c r="KVA66" s="5"/>
      <c r="KVB66" s="5"/>
      <c r="KVC66" s="5"/>
      <c r="KVD66" s="5"/>
      <c r="KVE66" s="5"/>
      <c r="KVF66" s="5"/>
      <c r="KVG66" s="5"/>
      <c r="KVH66" s="5"/>
      <c r="KVI66" s="5"/>
      <c r="KVJ66" s="5"/>
      <c r="KVK66" s="5"/>
      <c r="KVL66" s="5"/>
      <c r="KVM66" s="5"/>
      <c r="KVN66" s="5"/>
      <c r="KVO66" s="5"/>
      <c r="KVP66" s="5"/>
      <c r="KVQ66" s="5"/>
      <c r="KVR66" s="5"/>
      <c r="KVS66" s="5"/>
      <c r="KVT66" s="5"/>
      <c r="KVU66" s="5"/>
      <c r="KVV66" s="5"/>
      <c r="KVW66" s="5"/>
      <c r="KVX66" s="5"/>
      <c r="KVY66" s="5"/>
      <c r="KVZ66" s="5"/>
      <c r="KWA66" s="5"/>
      <c r="KWB66" s="5"/>
      <c r="KWC66" s="5"/>
      <c r="KWD66" s="5"/>
      <c r="KWE66" s="5"/>
      <c r="KWF66" s="5"/>
      <c r="KWG66" s="5"/>
      <c r="KWH66" s="5"/>
      <c r="KWI66" s="5"/>
      <c r="KWJ66" s="5"/>
      <c r="KWK66" s="5"/>
      <c r="KWL66" s="5"/>
      <c r="KWM66" s="5"/>
      <c r="KWN66" s="5"/>
      <c r="KWO66" s="5"/>
      <c r="KWP66" s="5"/>
      <c r="KWQ66" s="5"/>
      <c r="KWR66" s="5"/>
      <c r="KWS66" s="5"/>
      <c r="KWT66" s="5"/>
      <c r="KWU66" s="5"/>
      <c r="KWV66" s="5"/>
      <c r="KWW66" s="5"/>
      <c r="KWX66" s="5"/>
      <c r="KWY66" s="5"/>
      <c r="KWZ66" s="5"/>
      <c r="KXA66" s="5"/>
      <c r="KXB66" s="5"/>
      <c r="KXC66" s="5"/>
      <c r="KXD66" s="5"/>
      <c r="KXE66" s="5"/>
      <c r="KXF66" s="5"/>
      <c r="KXG66" s="5"/>
      <c r="KXH66" s="5"/>
      <c r="KXI66" s="5"/>
      <c r="KXJ66" s="5"/>
      <c r="KXK66" s="5"/>
      <c r="KXL66" s="5"/>
      <c r="KXM66" s="5"/>
      <c r="KXN66" s="5"/>
      <c r="KXO66" s="5"/>
      <c r="KXP66" s="5"/>
      <c r="KXQ66" s="5"/>
      <c r="KXR66" s="5"/>
      <c r="KXS66" s="5"/>
      <c r="KXT66" s="5"/>
      <c r="KXU66" s="5"/>
      <c r="KXV66" s="5"/>
      <c r="KXW66" s="5"/>
      <c r="KXX66" s="5"/>
      <c r="KXY66" s="5"/>
      <c r="KXZ66" s="5"/>
      <c r="KYA66" s="5"/>
      <c r="KYB66" s="5"/>
      <c r="KYC66" s="5"/>
      <c r="KYD66" s="5"/>
      <c r="KYE66" s="5"/>
      <c r="KYF66" s="5"/>
      <c r="KYG66" s="5"/>
      <c r="KYH66" s="5"/>
      <c r="KYI66" s="5"/>
      <c r="KYJ66" s="5"/>
      <c r="KYK66" s="5"/>
      <c r="KYL66" s="5"/>
      <c r="KYM66" s="5"/>
      <c r="KYN66" s="5"/>
      <c r="KYO66" s="5"/>
      <c r="KYP66" s="5"/>
      <c r="KYQ66" s="5"/>
      <c r="KYR66" s="5"/>
      <c r="KYS66" s="5"/>
      <c r="KYT66" s="5"/>
      <c r="KYU66" s="5"/>
      <c r="KYV66" s="5"/>
      <c r="KYW66" s="5"/>
      <c r="KYX66" s="5"/>
      <c r="KYY66" s="5"/>
      <c r="KYZ66" s="5"/>
      <c r="KZA66" s="5"/>
      <c r="KZB66" s="5"/>
      <c r="KZC66" s="5"/>
      <c r="KZD66" s="5"/>
      <c r="KZE66" s="5"/>
      <c r="KZF66" s="5"/>
      <c r="KZG66" s="5"/>
      <c r="KZH66" s="5"/>
      <c r="KZI66" s="5"/>
      <c r="KZJ66" s="5"/>
      <c r="KZK66" s="5"/>
      <c r="KZL66" s="5"/>
      <c r="KZM66" s="5"/>
      <c r="KZN66" s="5"/>
      <c r="KZO66" s="5"/>
      <c r="KZP66" s="5"/>
      <c r="KZQ66" s="5"/>
      <c r="KZR66" s="5"/>
      <c r="KZS66" s="5"/>
      <c r="KZT66" s="5"/>
      <c r="KZU66" s="5"/>
      <c r="KZV66" s="5"/>
      <c r="KZW66" s="5"/>
      <c r="KZX66" s="5"/>
      <c r="KZY66" s="5"/>
      <c r="KZZ66" s="5"/>
      <c r="LAA66" s="5"/>
      <c r="LAB66" s="5"/>
      <c r="LAC66" s="5"/>
      <c r="LAD66" s="5"/>
      <c r="LAE66" s="5"/>
      <c r="LAF66" s="5"/>
      <c r="LAG66" s="5"/>
      <c r="LAH66" s="5"/>
      <c r="LAI66" s="5"/>
      <c r="LAJ66" s="5"/>
      <c r="LAK66" s="5"/>
      <c r="LAL66" s="5"/>
      <c r="LAM66" s="5"/>
      <c r="LAN66" s="5"/>
      <c r="LAO66" s="5"/>
      <c r="LAP66" s="5"/>
      <c r="LAQ66" s="5"/>
      <c r="LAR66" s="5"/>
      <c r="LAS66" s="5"/>
      <c r="LAT66" s="5"/>
      <c r="LAU66" s="5"/>
      <c r="LAV66" s="5"/>
      <c r="LAW66" s="5"/>
      <c r="LAX66" s="5"/>
      <c r="LAY66" s="5"/>
      <c r="LAZ66" s="5"/>
      <c r="LBA66" s="5"/>
      <c r="LBB66" s="5"/>
      <c r="LBC66" s="5"/>
      <c r="LBD66" s="5"/>
      <c r="LBE66" s="5"/>
      <c r="LBF66" s="5"/>
      <c r="LBG66" s="5"/>
      <c r="LBH66" s="5"/>
      <c r="LBI66" s="5"/>
      <c r="LBJ66" s="5"/>
      <c r="LBK66" s="5"/>
      <c r="LBL66" s="5"/>
      <c r="LBM66" s="5"/>
      <c r="LBN66" s="5"/>
      <c r="LBO66" s="5"/>
      <c r="LBP66" s="5"/>
      <c r="LBQ66" s="5"/>
      <c r="LBR66" s="5"/>
      <c r="LBS66" s="5"/>
      <c r="LBT66" s="5"/>
      <c r="LBU66" s="5"/>
      <c r="LBV66" s="5"/>
      <c r="LBW66" s="5"/>
      <c r="LBX66" s="5"/>
      <c r="LBY66" s="5"/>
      <c r="LBZ66" s="5"/>
      <c r="LCA66" s="5"/>
      <c r="LCB66" s="5"/>
      <c r="LCC66" s="5"/>
      <c r="LCD66" s="5"/>
      <c r="LCE66" s="5"/>
      <c r="LCF66" s="5"/>
      <c r="LCG66" s="5"/>
      <c r="LCH66" s="5"/>
      <c r="LCI66" s="5"/>
      <c r="LCJ66" s="5"/>
      <c r="LCK66" s="5"/>
      <c r="LCL66" s="5"/>
      <c r="LCM66" s="5"/>
      <c r="LCN66" s="5"/>
      <c r="LCO66" s="5"/>
      <c r="LCP66" s="5"/>
      <c r="LCQ66" s="5"/>
      <c r="LCR66" s="5"/>
      <c r="LCS66" s="5"/>
      <c r="LCT66" s="5"/>
      <c r="LCU66" s="5"/>
      <c r="LCV66" s="5"/>
      <c r="LCW66" s="5"/>
      <c r="LCX66" s="5"/>
      <c r="LCY66" s="5"/>
      <c r="LCZ66" s="5"/>
      <c r="LDA66" s="5"/>
      <c r="LDB66" s="5"/>
      <c r="LDC66" s="5"/>
      <c r="LDD66" s="5"/>
      <c r="LDE66" s="5"/>
      <c r="LDF66" s="5"/>
      <c r="LDG66" s="5"/>
      <c r="LDH66" s="5"/>
      <c r="LDI66" s="5"/>
      <c r="LDJ66" s="5"/>
      <c r="LDK66" s="5"/>
      <c r="LDL66" s="5"/>
      <c r="LDM66" s="5"/>
      <c r="LDN66" s="5"/>
      <c r="LDO66" s="5"/>
      <c r="LDP66" s="5"/>
      <c r="LDQ66" s="5"/>
      <c r="LDR66" s="5"/>
      <c r="LDS66" s="5"/>
      <c r="LDT66" s="5"/>
      <c r="LDU66" s="5"/>
      <c r="LDV66" s="5"/>
      <c r="LDW66" s="5"/>
      <c r="LDX66" s="5"/>
      <c r="LDY66" s="5"/>
      <c r="LDZ66" s="5"/>
      <c r="LEA66" s="5"/>
      <c r="LEB66" s="5"/>
      <c r="LEC66" s="5"/>
      <c r="LED66" s="5"/>
      <c r="LEE66" s="5"/>
      <c r="LEF66" s="5"/>
      <c r="LEG66" s="5"/>
      <c r="LEH66" s="5"/>
      <c r="LEI66" s="5"/>
      <c r="LEJ66" s="5"/>
      <c r="LEK66" s="5"/>
      <c r="LEL66" s="5"/>
      <c r="LEM66" s="5"/>
      <c r="LEN66" s="5"/>
      <c r="LEO66" s="5"/>
      <c r="LEP66" s="5"/>
      <c r="LEQ66" s="5"/>
      <c r="LER66" s="5"/>
      <c r="LES66" s="5"/>
      <c r="LET66" s="5"/>
      <c r="LEU66" s="5"/>
      <c r="LEV66" s="5"/>
      <c r="LEW66" s="5"/>
      <c r="LEX66" s="5"/>
      <c r="LEY66" s="5"/>
      <c r="LEZ66" s="5"/>
      <c r="LFA66" s="5"/>
      <c r="LFB66" s="5"/>
      <c r="LFC66" s="5"/>
      <c r="LFD66" s="5"/>
      <c r="LFE66" s="5"/>
      <c r="LFF66" s="5"/>
      <c r="LFG66" s="5"/>
      <c r="LFH66" s="5"/>
      <c r="LFI66" s="5"/>
      <c r="LFJ66" s="5"/>
      <c r="LFK66" s="5"/>
      <c r="LFL66" s="5"/>
      <c r="LFM66" s="5"/>
      <c r="LFN66" s="5"/>
      <c r="LFO66" s="5"/>
      <c r="LFP66" s="5"/>
      <c r="LFQ66" s="5"/>
      <c r="LFR66" s="5"/>
      <c r="LFS66" s="5"/>
      <c r="LFT66" s="5"/>
      <c r="LFU66" s="5"/>
      <c r="LFV66" s="5"/>
      <c r="LFW66" s="5"/>
      <c r="LFX66" s="5"/>
      <c r="LFY66" s="5"/>
      <c r="LFZ66" s="5"/>
      <c r="LGA66" s="5"/>
      <c r="LGB66" s="5"/>
      <c r="LGC66" s="5"/>
      <c r="LGD66" s="5"/>
      <c r="LGE66" s="5"/>
      <c r="LGF66" s="5"/>
      <c r="LGG66" s="5"/>
      <c r="LGH66" s="5"/>
      <c r="LGI66" s="5"/>
      <c r="LGJ66" s="5"/>
      <c r="LGK66" s="5"/>
      <c r="LGL66" s="5"/>
      <c r="LGM66" s="5"/>
      <c r="LGN66" s="5"/>
      <c r="LGO66" s="5"/>
      <c r="LGP66" s="5"/>
      <c r="LGQ66" s="5"/>
      <c r="LGR66" s="5"/>
      <c r="LGS66" s="5"/>
      <c r="LGT66" s="5"/>
      <c r="LGU66" s="5"/>
      <c r="LGV66" s="5"/>
      <c r="LGW66" s="5"/>
      <c r="LGX66" s="5"/>
      <c r="LGY66" s="5"/>
      <c r="LGZ66" s="5"/>
      <c r="LHA66" s="5"/>
      <c r="LHB66" s="5"/>
      <c r="LHC66" s="5"/>
      <c r="LHD66" s="5"/>
      <c r="LHE66" s="5"/>
      <c r="LHF66" s="5"/>
      <c r="LHG66" s="5"/>
      <c r="LHH66" s="5"/>
      <c r="LHI66" s="5"/>
      <c r="LHJ66" s="5"/>
      <c r="LHK66" s="5"/>
      <c r="LHL66" s="5"/>
      <c r="LHM66" s="5"/>
      <c r="LHN66" s="5"/>
      <c r="LHO66" s="5"/>
      <c r="LHP66" s="5"/>
      <c r="LHQ66" s="5"/>
      <c r="LHR66" s="5"/>
      <c r="LHS66" s="5"/>
      <c r="LHT66" s="5"/>
      <c r="LHU66" s="5"/>
      <c r="LHV66" s="5"/>
      <c r="LHW66" s="5"/>
      <c r="LHX66" s="5"/>
      <c r="LHY66" s="5"/>
      <c r="LHZ66" s="5"/>
      <c r="LIA66" s="5"/>
      <c r="LIB66" s="5"/>
      <c r="LIC66" s="5"/>
      <c r="LID66" s="5"/>
      <c r="LIE66" s="5"/>
      <c r="LIF66" s="5"/>
      <c r="LIG66" s="5"/>
      <c r="LIH66" s="5"/>
      <c r="LII66" s="5"/>
      <c r="LIJ66" s="5"/>
      <c r="LIK66" s="5"/>
      <c r="LIL66" s="5"/>
      <c r="LIM66" s="5"/>
      <c r="LIN66" s="5"/>
      <c r="LIO66" s="5"/>
      <c r="LIP66" s="5"/>
      <c r="LIQ66" s="5"/>
      <c r="LIR66" s="5"/>
      <c r="LIS66" s="5"/>
      <c r="LIT66" s="5"/>
      <c r="LIU66" s="5"/>
      <c r="LIV66" s="5"/>
      <c r="LIW66" s="5"/>
      <c r="LIX66" s="5"/>
      <c r="LIY66" s="5"/>
      <c r="LIZ66" s="5"/>
      <c r="LJA66" s="5"/>
      <c r="LJB66" s="5"/>
      <c r="LJC66" s="5"/>
      <c r="LJD66" s="5"/>
      <c r="LJE66" s="5"/>
      <c r="LJF66" s="5"/>
      <c r="LJG66" s="5"/>
      <c r="LJH66" s="5"/>
      <c r="LJI66" s="5"/>
      <c r="LJJ66" s="5"/>
      <c r="LJK66" s="5"/>
      <c r="LJL66" s="5"/>
      <c r="LJM66" s="5"/>
      <c r="LJN66" s="5"/>
      <c r="LJO66" s="5"/>
      <c r="LJP66" s="5"/>
      <c r="LJQ66" s="5"/>
      <c r="LJR66" s="5"/>
      <c r="LJS66" s="5"/>
      <c r="LJT66" s="5"/>
      <c r="LJU66" s="5"/>
      <c r="LJV66" s="5"/>
      <c r="LJW66" s="5"/>
      <c r="LJX66" s="5"/>
      <c r="LJY66" s="5"/>
      <c r="LJZ66" s="5"/>
      <c r="LKA66" s="5"/>
      <c r="LKB66" s="5"/>
      <c r="LKC66" s="5"/>
      <c r="LKD66" s="5"/>
      <c r="LKE66" s="5"/>
      <c r="LKF66" s="5"/>
      <c r="LKG66" s="5"/>
      <c r="LKH66" s="5"/>
      <c r="LKI66" s="5"/>
      <c r="LKJ66" s="5"/>
      <c r="LKK66" s="5"/>
      <c r="LKL66" s="5"/>
      <c r="LKM66" s="5"/>
      <c r="LKN66" s="5"/>
      <c r="LKO66" s="5"/>
      <c r="LKP66" s="5"/>
      <c r="LKQ66" s="5"/>
      <c r="LKR66" s="5"/>
      <c r="LKS66" s="5"/>
      <c r="LKT66" s="5"/>
      <c r="LKU66" s="5"/>
      <c r="LKV66" s="5"/>
      <c r="LKW66" s="5"/>
      <c r="LKX66" s="5"/>
      <c r="LKY66" s="5"/>
      <c r="LKZ66" s="5"/>
      <c r="LLA66" s="5"/>
      <c r="LLB66" s="5"/>
      <c r="LLC66" s="5"/>
      <c r="LLD66" s="5"/>
      <c r="LLE66" s="5"/>
      <c r="LLF66" s="5"/>
      <c r="LLG66" s="5"/>
      <c r="LLH66" s="5"/>
      <c r="LLI66" s="5"/>
      <c r="LLJ66" s="5"/>
      <c r="LLK66" s="5"/>
      <c r="LLL66" s="5"/>
      <c r="LLM66" s="5"/>
      <c r="LLN66" s="5"/>
      <c r="LLO66" s="5"/>
      <c r="LLP66" s="5"/>
      <c r="LLQ66" s="5"/>
      <c r="LLR66" s="5"/>
      <c r="LLS66" s="5"/>
      <c r="LLT66" s="5"/>
      <c r="LLU66" s="5"/>
      <c r="LLV66" s="5"/>
      <c r="LLW66" s="5"/>
      <c r="LLX66" s="5"/>
      <c r="LLY66" s="5"/>
      <c r="LLZ66" s="5"/>
      <c r="LMA66" s="5"/>
      <c r="LMB66" s="5"/>
      <c r="LMC66" s="5"/>
      <c r="LMD66" s="5"/>
      <c r="LME66" s="5"/>
      <c r="LMF66" s="5"/>
      <c r="LMG66" s="5"/>
      <c r="LMH66" s="5"/>
      <c r="LMI66" s="5"/>
      <c r="LMJ66" s="5"/>
      <c r="LMK66" s="5"/>
      <c r="LML66" s="5"/>
      <c r="LMM66" s="5"/>
      <c r="LMN66" s="5"/>
      <c r="LMO66" s="5"/>
      <c r="LMP66" s="5"/>
      <c r="LMQ66" s="5"/>
      <c r="LMR66" s="5"/>
      <c r="LMS66" s="5"/>
      <c r="LMT66" s="5"/>
      <c r="LMU66" s="5"/>
      <c r="LMV66" s="5"/>
      <c r="LMW66" s="5"/>
      <c r="LMX66" s="5"/>
      <c r="LMY66" s="5"/>
      <c r="LMZ66" s="5"/>
      <c r="LNA66" s="5"/>
      <c r="LNB66" s="5"/>
      <c r="LNC66" s="5"/>
      <c r="LND66" s="5"/>
      <c r="LNE66" s="5"/>
      <c r="LNF66" s="5"/>
      <c r="LNG66" s="5"/>
      <c r="LNH66" s="5"/>
      <c r="LNI66" s="5"/>
      <c r="LNJ66" s="5"/>
      <c r="LNK66" s="5"/>
      <c r="LNL66" s="5"/>
      <c r="LNM66" s="5"/>
      <c r="LNN66" s="5"/>
      <c r="LNO66" s="5"/>
      <c r="LNP66" s="5"/>
      <c r="LNQ66" s="5"/>
      <c r="LNR66" s="5"/>
      <c r="LNS66" s="5"/>
      <c r="LNT66" s="5"/>
      <c r="LNU66" s="5"/>
      <c r="LNV66" s="5"/>
      <c r="LNW66" s="5"/>
      <c r="LNX66" s="5"/>
      <c r="LNY66" s="5"/>
      <c r="LNZ66" s="5"/>
      <c r="LOA66" s="5"/>
      <c r="LOB66" s="5"/>
      <c r="LOC66" s="5"/>
      <c r="LOD66" s="5"/>
      <c r="LOE66" s="5"/>
      <c r="LOF66" s="5"/>
      <c r="LOG66" s="5"/>
      <c r="LOH66" s="5"/>
      <c r="LOI66" s="5"/>
      <c r="LOJ66" s="5"/>
      <c r="LOK66" s="5"/>
      <c r="LOL66" s="5"/>
      <c r="LOM66" s="5"/>
      <c r="LON66" s="5"/>
      <c r="LOO66" s="5"/>
      <c r="LOP66" s="5"/>
      <c r="LOQ66" s="5"/>
      <c r="LOR66" s="5"/>
      <c r="LOS66" s="5"/>
      <c r="LOT66" s="5"/>
      <c r="LOU66" s="5"/>
      <c r="LOV66" s="5"/>
      <c r="LOW66" s="5"/>
      <c r="LOX66" s="5"/>
      <c r="LOY66" s="5"/>
      <c r="LOZ66" s="5"/>
      <c r="LPA66" s="5"/>
      <c r="LPB66" s="5"/>
      <c r="LPC66" s="5"/>
      <c r="LPD66" s="5"/>
      <c r="LPE66" s="5"/>
      <c r="LPF66" s="5"/>
      <c r="LPG66" s="5"/>
      <c r="LPH66" s="5"/>
      <c r="LPI66" s="5"/>
      <c r="LPJ66" s="5"/>
      <c r="LPK66" s="5"/>
      <c r="LPL66" s="5"/>
      <c r="LPM66" s="5"/>
      <c r="LPN66" s="5"/>
      <c r="LPO66" s="5"/>
      <c r="LPP66" s="5"/>
      <c r="LPQ66" s="5"/>
      <c r="LPR66" s="5"/>
      <c r="LPS66" s="5"/>
      <c r="LPT66" s="5"/>
      <c r="LPU66" s="5"/>
      <c r="LPV66" s="5"/>
      <c r="LPW66" s="5"/>
      <c r="LPX66" s="5"/>
      <c r="LPY66" s="5"/>
      <c r="LPZ66" s="5"/>
      <c r="LQA66" s="5"/>
      <c r="LQB66" s="5"/>
      <c r="LQC66" s="5"/>
      <c r="LQD66" s="5"/>
      <c r="LQE66" s="5"/>
      <c r="LQF66" s="5"/>
      <c r="LQG66" s="5"/>
      <c r="LQH66" s="5"/>
      <c r="LQI66" s="5"/>
      <c r="LQJ66" s="5"/>
      <c r="LQK66" s="5"/>
      <c r="LQL66" s="5"/>
      <c r="LQM66" s="5"/>
      <c r="LQN66" s="5"/>
      <c r="LQO66" s="5"/>
      <c r="LQP66" s="5"/>
      <c r="LQQ66" s="5"/>
      <c r="LQR66" s="5"/>
      <c r="LQS66" s="5"/>
      <c r="LQT66" s="5"/>
      <c r="LQU66" s="5"/>
      <c r="LQV66" s="5"/>
      <c r="LQW66" s="5"/>
      <c r="LQX66" s="5"/>
      <c r="LQY66" s="5"/>
      <c r="LQZ66" s="5"/>
      <c r="LRA66" s="5"/>
      <c r="LRB66" s="5"/>
      <c r="LRC66" s="5"/>
      <c r="LRD66" s="5"/>
      <c r="LRE66" s="5"/>
      <c r="LRF66" s="5"/>
      <c r="LRG66" s="5"/>
      <c r="LRH66" s="5"/>
      <c r="LRI66" s="5"/>
      <c r="LRJ66" s="5"/>
      <c r="LRK66" s="5"/>
      <c r="LRL66" s="5"/>
      <c r="LRM66" s="5"/>
      <c r="LRN66" s="5"/>
      <c r="LRO66" s="5"/>
      <c r="LRP66" s="5"/>
      <c r="LRQ66" s="5"/>
      <c r="LRR66" s="5"/>
      <c r="LRS66" s="5"/>
      <c r="LRT66" s="5"/>
      <c r="LRU66" s="5"/>
      <c r="LRV66" s="5"/>
      <c r="LRW66" s="5"/>
      <c r="LRX66" s="5"/>
      <c r="LRY66" s="5"/>
      <c r="LRZ66" s="5"/>
      <c r="LSA66" s="5"/>
      <c r="LSB66" s="5"/>
      <c r="LSC66" s="5"/>
      <c r="LSD66" s="5"/>
      <c r="LSE66" s="5"/>
      <c r="LSF66" s="5"/>
      <c r="LSG66" s="5"/>
      <c r="LSH66" s="5"/>
      <c r="LSI66" s="5"/>
      <c r="LSJ66" s="5"/>
      <c r="LSK66" s="5"/>
      <c r="LSL66" s="5"/>
      <c r="LSM66" s="5"/>
      <c r="LSN66" s="5"/>
      <c r="LSO66" s="5"/>
      <c r="LSP66" s="5"/>
      <c r="LSQ66" s="5"/>
      <c r="LSR66" s="5"/>
      <c r="LSS66" s="5"/>
      <c r="LST66" s="5"/>
      <c r="LSU66" s="5"/>
      <c r="LSV66" s="5"/>
      <c r="LSW66" s="5"/>
      <c r="LSX66" s="5"/>
      <c r="LSY66" s="5"/>
      <c r="LSZ66" s="5"/>
      <c r="LTA66" s="5"/>
      <c r="LTB66" s="5"/>
      <c r="LTC66" s="5"/>
      <c r="LTD66" s="5"/>
      <c r="LTE66" s="5"/>
      <c r="LTF66" s="5"/>
      <c r="LTG66" s="5"/>
      <c r="LTH66" s="5"/>
      <c r="LTI66" s="5"/>
      <c r="LTJ66" s="5"/>
      <c r="LTK66" s="5"/>
      <c r="LTL66" s="5"/>
      <c r="LTM66" s="5"/>
      <c r="LTN66" s="5"/>
      <c r="LTO66" s="5"/>
      <c r="LTP66" s="5"/>
      <c r="LTQ66" s="5"/>
      <c r="LTR66" s="5"/>
      <c r="LTS66" s="5"/>
      <c r="LTT66" s="5"/>
      <c r="LTU66" s="5"/>
      <c r="LTV66" s="5"/>
      <c r="LTW66" s="5"/>
      <c r="LTX66" s="5"/>
      <c r="LTY66" s="5"/>
      <c r="LTZ66" s="5"/>
      <c r="LUA66" s="5"/>
      <c r="LUB66" s="5"/>
      <c r="LUC66" s="5"/>
      <c r="LUD66" s="5"/>
      <c r="LUE66" s="5"/>
      <c r="LUF66" s="5"/>
      <c r="LUG66" s="5"/>
      <c r="LUH66" s="5"/>
      <c r="LUI66" s="5"/>
      <c r="LUJ66" s="5"/>
      <c r="LUK66" s="5"/>
      <c r="LUL66" s="5"/>
      <c r="LUM66" s="5"/>
      <c r="LUN66" s="5"/>
      <c r="LUO66" s="5"/>
      <c r="LUP66" s="5"/>
      <c r="LUQ66" s="5"/>
      <c r="LUR66" s="5"/>
      <c r="LUS66" s="5"/>
      <c r="LUT66" s="5"/>
      <c r="LUU66" s="5"/>
      <c r="LUV66" s="5"/>
      <c r="LUW66" s="5"/>
      <c r="LUX66" s="5"/>
      <c r="LUY66" s="5"/>
      <c r="LUZ66" s="5"/>
      <c r="LVA66" s="5"/>
      <c r="LVB66" s="5"/>
      <c r="LVC66" s="5"/>
      <c r="LVD66" s="5"/>
      <c r="LVE66" s="5"/>
      <c r="LVF66" s="5"/>
      <c r="LVG66" s="5"/>
      <c r="LVH66" s="5"/>
      <c r="LVI66" s="5"/>
      <c r="LVJ66" s="5"/>
      <c r="LVK66" s="5"/>
      <c r="LVL66" s="5"/>
      <c r="LVM66" s="5"/>
      <c r="LVN66" s="5"/>
      <c r="LVO66" s="5"/>
      <c r="LVP66" s="5"/>
      <c r="LVQ66" s="5"/>
      <c r="LVR66" s="5"/>
      <c r="LVS66" s="5"/>
      <c r="LVT66" s="5"/>
      <c r="LVU66" s="5"/>
      <c r="LVV66" s="5"/>
      <c r="LVW66" s="5"/>
      <c r="LVX66" s="5"/>
      <c r="LVY66" s="5"/>
      <c r="LVZ66" s="5"/>
      <c r="LWA66" s="5"/>
      <c r="LWB66" s="5"/>
      <c r="LWC66" s="5"/>
      <c r="LWD66" s="5"/>
      <c r="LWE66" s="5"/>
      <c r="LWF66" s="5"/>
      <c r="LWG66" s="5"/>
      <c r="LWH66" s="5"/>
      <c r="LWI66" s="5"/>
      <c r="LWJ66" s="5"/>
      <c r="LWK66" s="5"/>
      <c r="LWL66" s="5"/>
      <c r="LWM66" s="5"/>
      <c r="LWN66" s="5"/>
      <c r="LWO66" s="5"/>
      <c r="LWP66" s="5"/>
      <c r="LWQ66" s="5"/>
      <c r="LWR66" s="5"/>
      <c r="LWS66" s="5"/>
      <c r="LWT66" s="5"/>
      <c r="LWU66" s="5"/>
      <c r="LWV66" s="5"/>
      <c r="LWW66" s="5"/>
      <c r="LWX66" s="5"/>
      <c r="LWY66" s="5"/>
      <c r="LWZ66" s="5"/>
      <c r="LXA66" s="5"/>
      <c r="LXB66" s="5"/>
      <c r="LXC66" s="5"/>
      <c r="LXD66" s="5"/>
      <c r="LXE66" s="5"/>
      <c r="LXF66" s="5"/>
      <c r="LXG66" s="5"/>
      <c r="LXH66" s="5"/>
      <c r="LXI66" s="5"/>
      <c r="LXJ66" s="5"/>
      <c r="LXK66" s="5"/>
      <c r="LXL66" s="5"/>
      <c r="LXM66" s="5"/>
      <c r="LXN66" s="5"/>
      <c r="LXO66" s="5"/>
      <c r="LXP66" s="5"/>
      <c r="LXQ66" s="5"/>
      <c r="LXR66" s="5"/>
      <c r="LXS66" s="5"/>
      <c r="LXT66" s="5"/>
      <c r="LXU66" s="5"/>
      <c r="LXV66" s="5"/>
      <c r="LXW66" s="5"/>
      <c r="LXX66" s="5"/>
      <c r="LXY66" s="5"/>
      <c r="LXZ66" s="5"/>
      <c r="LYA66" s="5"/>
      <c r="LYB66" s="5"/>
      <c r="LYC66" s="5"/>
      <c r="LYD66" s="5"/>
      <c r="LYE66" s="5"/>
      <c r="LYF66" s="5"/>
      <c r="LYG66" s="5"/>
      <c r="LYH66" s="5"/>
      <c r="LYI66" s="5"/>
      <c r="LYJ66" s="5"/>
      <c r="LYK66" s="5"/>
      <c r="LYL66" s="5"/>
      <c r="LYM66" s="5"/>
      <c r="LYN66" s="5"/>
      <c r="LYO66" s="5"/>
      <c r="LYP66" s="5"/>
      <c r="LYQ66" s="5"/>
      <c r="LYR66" s="5"/>
      <c r="LYS66" s="5"/>
      <c r="LYT66" s="5"/>
      <c r="LYU66" s="5"/>
      <c r="LYV66" s="5"/>
      <c r="LYW66" s="5"/>
      <c r="LYX66" s="5"/>
      <c r="LYY66" s="5"/>
      <c r="LYZ66" s="5"/>
      <c r="LZA66" s="5"/>
      <c r="LZB66" s="5"/>
      <c r="LZC66" s="5"/>
      <c r="LZD66" s="5"/>
      <c r="LZE66" s="5"/>
      <c r="LZF66" s="5"/>
      <c r="LZG66" s="5"/>
      <c r="LZH66" s="5"/>
      <c r="LZI66" s="5"/>
      <c r="LZJ66" s="5"/>
      <c r="LZK66" s="5"/>
      <c r="LZL66" s="5"/>
      <c r="LZM66" s="5"/>
      <c r="LZN66" s="5"/>
      <c r="LZO66" s="5"/>
      <c r="LZP66" s="5"/>
      <c r="LZQ66" s="5"/>
      <c r="LZR66" s="5"/>
      <c r="LZS66" s="5"/>
      <c r="LZT66" s="5"/>
      <c r="LZU66" s="5"/>
      <c r="LZV66" s="5"/>
      <c r="LZW66" s="5"/>
      <c r="LZX66" s="5"/>
      <c r="LZY66" s="5"/>
      <c r="LZZ66" s="5"/>
      <c r="MAA66" s="5"/>
      <c r="MAB66" s="5"/>
      <c r="MAC66" s="5"/>
      <c r="MAD66" s="5"/>
      <c r="MAE66" s="5"/>
      <c r="MAF66" s="5"/>
      <c r="MAG66" s="5"/>
      <c r="MAH66" s="5"/>
      <c r="MAI66" s="5"/>
      <c r="MAJ66" s="5"/>
      <c r="MAK66" s="5"/>
      <c r="MAL66" s="5"/>
      <c r="MAM66" s="5"/>
      <c r="MAN66" s="5"/>
      <c r="MAO66" s="5"/>
      <c r="MAP66" s="5"/>
      <c r="MAQ66" s="5"/>
      <c r="MAR66" s="5"/>
      <c r="MAS66" s="5"/>
      <c r="MAT66" s="5"/>
      <c r="MAU66" s="5"/>
      <c r="MAV66" s="5"/>
      <c r="MAW66" s="5"/>
      <c r="MAX66" s="5"/>
      <c r="MAY66" s="5"/>
      <c r="MAZ66" s="5"/>
      <c r="MBA66" s="5"/>
      <c r="MBB66" s="5"/>
      <c r="MBC66" s="5"/>
      <c r="MBD66" s="5"/>
      <c r="MBE66" s="5"/>
      <c r="MBF66" s="5"/>
      <c r="MBG66" s="5"/>
      <c r="MBH66" s="5"/>
      <c r="MBI66" s="5"/>
      <c r="MBJ66" s="5"/>
      <c r="MBK66" s="5"/>
      <c r="MBL66" s="5"/>
      <c r="MBM66" s="5"/>
      <c r="MBN66" s="5"/>
      <c r="MBO66" s="5"/>
      <c r="MBP66" s="5"/>
      <c r="MBQ66" s="5"/>
      <c r="MBR66" s="5"/>
      <c r="MBS66" s="5"/>
      <c r="MBT66" s="5"/>
      <c r="MBU66" s="5"/>
      <c r="MBV66" s="5"/>
      <c r="MBW66" s="5"/>
      <c r="MBX66" s="5"/>
      <c r="MBY66" s="5"/>
      <c r="MBZ66" s="5"/>
      <c r="MCA66" s="5"/>
      <c r="MCB66" s="5"/>
      <c r="MCC66" s="5"/>
      <c r="MCD66" s="5"/>
      <c r="MCE66" s="5"/>
      <c r="MCF66" s="5"/>
      <c r="MCG66" s="5"/>
      <c r="MCH66" s="5"/>
      <c r="MCI66" s="5"/>
      <c r="MCJ66" s="5"/>
      <c r="MCK66" s="5"/>
      <c r="MCL66" s="5"/>
      <c r="MCM66" s="5"/>
      <c r="MCN66" s="5"/>
      <c r="MCO66" s="5"/>
      <c r="MCP66" s="5"/>
      <c r="MCQ66" s="5"/>
      <c r="MCR66" s="5"/>
      <c r="MCS66" s="5"/>
      <c r="MCT66" s="5"/>
      <c r="MCU66" s="5"/>
      <c r="MCV66" s="5"/>
      <c r="MCW66" s="5"/>
      <c r="MCX66" s="5"/>
      <c r="MCY66" s="5"/>
      <c r="MCZ66" s="5"/>
      <c r="MDA66" s="5"/>
      <c r="MDB66" s="5"/>
      <c r="MDC66" s="5"/>
      <c r="MDD66" s="5"/>
      <c r="MDE66" s="5"/>
      <c r="MDF66" s="5"/>
      <c r="MDG66" s="5"/>
      <c r="MDH66" s="5"/>
      <c r="MDI66" s="5"/>
      <c r="MDJ66" s="5"/>
      <c r="MDK66" s="5"/>
      <c r="MDL66" s="5"/>
      <c r="MDM66" s="5"/>
      <c r="MDN66" s="5"/>
      <c r="MDO66" s="5"/>
      <c r="MDP66" s="5"/>
      <c r="MDQ66" s="5"/>
      <c r="MDR66" s="5"/>
      <c r="MDS66" s="5"/>
      <c r="MDT66" s="5"/>
      <c r="MDU66" s="5"/>
      <c r="MDV66" s="5"/>
      <c r="MDW66" s="5"/>
      <c r="MDX66" s="5"/>
      <c r="MDY66" s="5"/>
      <c r="MDZ66" s="5"/>
      <c r="MEA66" s="5"/>
      <c r="MEB66" s="5"/>
      <c r="MEC66" s="5"/>
      <c r="MED66" s="5"/>
      <c r="MEE66" s="5"/>
      <c r="MEF66" s="5"/>
      <c r="MEG66" s="5"/>
      <c r="MEH66" s="5"/>
      <c r="MEI66" s="5"/>
      <c r="MEJ66" s="5"/>
      <c r="MEK66" s="5"/>
      <c r="MEL66" s="5"/>
      <c r="MEM66" s="5"/>
      <c r="MEN66" s="5"/>
      <c r="MEO66" s="5"/>
      <c r="MEP66" s="5"/>
      <c r="MEQ66" s="5"/>
      <c r="MER66" s="5"/>
      <c r="MES66" s="5"/>
      <c r="MET66" s="5"/>
      <c r="MEU66" s="5"/>
      <c r="MEV66" s="5"/>
      <c r="MEW66" s="5"/>
      <c r="MEX66" s="5"/>
      <c r="MEY66" s="5"/>
      <c r="MEZ66" s="5"/>
      <c r="MFA66" s="5"/>
      <c r="MFB66" s="5"/>
      <c r="MFC66" s="5"/>
      <c r="MFD66" s="5"/>
      <c r="MFE66" s="5"/>
      <c r="MFF66" s="5"/>
      <c r="MFG66" s="5"/>
      <c r="MFH66" s="5"/>
      <c r="MFI66" s="5"/>
      <c r="MFJ66" s="5"/>
      <c r="MFK66" s="5"/>
      <c r="MFL66" s="5"/>
      <c r="MFM66" s="5"/>
      <c r="MFN66" s="5"/>
      <c r="MFO66" s="5"/>
      <c r="MFP66" s="5"/>
      <c r="MFQ66" s="5"/>
      <c r="MFR66" s="5"/>
      <c r="MFS66" s="5"/>
      <c r="MFT66" s="5"/>
      <c r="MFU66" s="5"/>
      <c r="MFV66" s="5"/>
      <c r="MFW66" s="5"/>
      <c r="MFX66" s="5"/>
      <c r="MFY66" s="5"/>
      <c r="MFZ66" s="5"/>
      <c r="MGA66" s="5"/>
      <c r="MGB66" s="5"/>
      <c r="MGC66" s="5"/>
      <c r="MGD66" s="5"/>
      <c r="MGE66" s="5"/>
      <c r="MGF66" s="5"/>
      <c r="MGG66" s="5"/>
      <c r="MGH66" s="5"/>
      <c r="MGI66" s="5"/>
      <c r="MGJ66" s="5"/>
      <c r="MGK66" s="5"/>
      <c r="MGL66" s="5"/>
      <c r="MGM66" s="5"/>
      <c r="MGN66" s="5"/>
      <c r="MGO66" s="5"/>
      <c r="MGP66" s="5"/>
      <c r="MGQ66" s="5"/>
      <c r="MGR66" s="5"/>
      <c r="MGS66" s="5"/>
      <c r="MGT66" s="5"/>
      <c r="MGU66" s="5"/>
      <c r="MGV66" s="5"/>
      <c r="MGW66" s="5"/>
      <c r="MGX66" s="5"/>
      <c r="MGY66" s="5"/>
      <c r="MGZ66" s="5"/>
      <c r="MHA66" s="5"/>
      <c r="MHB66" s="5"/>
      <c r="MHC66" s="5"/>
      <c r="MHD66" s="5"/>
      <c r="MHE66" s="5"/>
      <c r="MHF66" s="5"/>
      <c r="MHG66" s="5"/>
      <c r="MHH66" s="5"/>
      <c r="MHI66" s="5"/>
      <c r="MHJ66" s="5"/>
      <c r="MHK66" s="5"/>
      <c r="MHL66" s="5"/>
      <c r="MHM66" s="5"/>
      <c r="MHN66" s="5"/>
      <c r="MHO66" s="5"/>
      <c r="MHP66" s="5"/>
      <c r="MHQ66" s="5"/>
      <c r="MHR66" s="5"/>
      <c r="MHS66" s="5"/>
      <c r="MHT66" s="5"/>
      <c r="MHU66" s="5"/>
      <c r="MHV66" s="5"/>
      <c r="MHW66" s="5"/>
      <c r="MHX66" s="5"/>
      <c r="MHY66" s="5"/>
      <c r="MHZ66" s="5"/>
      <c r="MIA66" s="5"/>
      <c r="MIB66" s="5"/>
      <c r="MIC66" s="5"/>
      <c r="MID66" s="5"/>
      <c r="MIE66" s="5"/>
      <c r="MIF66" s="5"/>
      <c r="MIG66" s="5"/>
      <c r="MIH66" s="5"/>
      <c r="MII66" s="5"/>
      <c r="MIJ66" s="5"/>
      <c r="MIK66" s="5"/>
      <c r="MIL66" s="5"/>
      <c r="MIM66" s="5"/>
      <c r="MIN66" s="5"/>
      <c r="MIO66" s="5"/>
      <c r="MIP66" s="5"/>
      <c r="MIQ66" s="5"/>
      <c r="MIR66" s="5"/>
      <c r="MIS66" s="5"/>
      <c r="MIT66" s="5"/>
      <c r="MIU66" s="5"/>
      <c r="MIV66" s="5"/>
      <c r="MIW66" s="5"/>
      <c r="MIX66" s="5"/>
      <c r="MIY66" s="5"/>
      <c r="MIZ66" s="5"/>
      <c r="MJA66" s="5"/>
      <c r="MJB66" s="5"/>
      <c r="MJC66" s="5"/>
      <c r="MJD66" s="5"/>
      <c r="MJE66" s="5"/>
      <c r="MJF66" s="5"/>
      <c r="MJG66" s="5"/>
      <c r="MJH66" s="5"/>
      <c r="MJI66" s="5"/>
      <c r="MJJ66" s="5"/>
      <c r="MJK66" s="5"/>
      <c r="MJL66" s="5"/>
      <c r="MJM66" s="5"/>
      <c r="MJN66" s="5"/>
      <c r="MJO66" s="5"/>
      <c r="MJP66" s="5"/>
      <c r="MJQ66" s="5"/>
      <c r="MJR66" s="5"/>
      <c r="MJS66" s="5"/>
      <c r="MJT66" s="5"/>
      <c r="MJU66" s="5"/>
      <c r="MJV66" s="5"/>
      <c r="MJW66" s="5"/>
      <c r="MJX66" s="5"/>
      <c r="MJY66" s="5"/>
      <c r="MJZ66" s="5"/>
      <c r="MKA66" s="5"/>
      <c r="MKB66" s="5"/>
      <c r="MKC66" s="5"/>
      <c r="MKD66" s="5"/>
      <c r="MKE66" s="5"/>
      <c r="MKF66" s="5"/>
      <c r="MKG66" s="5"/>
      <c r="MKH66" s="5"/>
      <c r="MKI66" s="5"/>
      <c r="MKJ66" s="5"/>
      <c r="MKK66" s="5"/>
      <c r="MKL66" s="5"/>
      <c r="MKM66" s="5"/>
      <c r="MKN66" s="5"/>
      <c r="MKO66" s="5"/>
      <c r="MKP66" s="5"/>
      <c r="MKQ66" s="5"/>
      <c r="MKR66" s="5"/>
      <c r="MKS66" s="5"/>
      <c r="MKT66" s="5"/>
      <c r="MKU66" s="5"/>
      <c r="MKV66" s="5"/>
      <c r="MKW66" s="5"/>
      <c r="MKX66" s="5"/>
      <c r="MKY66" s="5"/>
      <c r="MKZ66" s="5"/>
      <c r="MLA66" s="5"/>
      <c r="MLB66" s="5"/>
      <c r="MLC66" s="5"/>
      <c r="MLD66" s="5"/>
      <c r="MLE66" s="5"/>
      <c r="MLF66" s="5"/>
      <c r="MLG66" s="5"/>
      <c r="MLH66" s="5"/>
      <c r="MLI66" s="5"/>
      <c r="MLJ66" s="5"/>
      <c r="MLK66" s="5"/>
      <c r="MLL66" s="5"/>
      <c r="MLM66" s="5"/>
      <c r="MLN66" s="5"/>
      <c r="MLO66" s="5"/>
      <c r="MLP66" s="5"/>
      <c r="MLQ66" s="5"/>
      <c r="MLR66" s="5"/>
      <c r="MLS66" s="5"/>
      <c r="MLT66" s="5"/>
      <c r="MLU66" s="5"/>
      <c r="MLV66" s="5"/>
      <c r="MLW66" s="5"/>
      <c r="MLX66" s="5"/>
      <c r="MLY66" s="5"/>
      <c r="MLZ66" s="5"/>
      <c r="MMA66" s="5"/>
      <c r="MMB66" s="5"/>
      <c r="MMC66" s="5"/>
      <c r="MMD66" s="5"/>
      <c r="MME66" s="5"/>
      <c r="MMF66" s="5"/>
      <c r="MMG66" s="5"/>
      <c r="MMH66" s="5"/>
      <c r="MMI66" s="5"/>
      <c r="MMJ66" s="5"/>
      <c r="MMK66" s="5"/>
      <c r="MML66" s="5"/>
      <c r="MMM66" s="5"/>
      <c r="MMN66" s="5"/>
      <c r="MMO66" s="5"/>
      <c r="MMP66" s="5"/>
      <c r="MMQ66" s="5"/>
      <c r="MMR66" s="5"/>
      <c r="MMS66" s="5"/>
      <c r="MMT66" s="5"/>
      <c r="MMU66" s="5"/>
      <c r="MMV66" s="5"/>
      <c r="MMW66" s="5"/>
      <c r="MMX66" s="5"/>
      <c r="MMY66" s="5"/>
      <c r="MMZ66" s="5"/>
      <c r="MNA66" s="5"/>
      <c r="MNB66" s="5"/>
      <c r="MNC66" s="5"/>
      <c r="MND66" s="5"/>
      <c r="MNE66" s="5"/>
      <c r="MNF66" s="5"/>
      <c r="MNG66" s="5"/>
      <c r="MNH66" s="5"/>
      <c r="MNI66" s="5"/>
      <c r="MNJ66" s="5"/>
      <c r="MNK66" s="5"/>
      <c r="MNL66" s="5"/>
      <c r="MNM66" s="5"/>
      <c r="MNN66" s="5"/>
      <c r="MNO66" s="5"/>
      <c r="MNP66" s="5"/>
      <c r="MNQ66" s="5"/>
      <c r="MNR66" s="5"/>
      <c r="MNS66" s="5"/>
      <c r="MNT66" s="5"/>
      <c r="MNU66" s="5"/>
      <c r="MNV66" s="5"/>
      <c r="MNW66" s="5"/>
      <c r="MNX66" s="5"/>
      <c r="MNY66" s="5"/>
      <c r="MNZ66" s="5"/>
      <c r="MOA66" s="5"/>
      <c r="MOB66" s="5"/>
      <c r="MOC66" s="5"/>
      <c r="MOD66" s="5"/>
      <c r="MOE66" s="5"/>
      <c r="MOF66" s="5"/>
      <c r="MOG66" s="5"/>
      <c r="MOH66" s="5"/>
      <c r="MOI66" s="5"/>
      <c r="MOJ66" s="5"/>
      <c r="MOK66" s="5"/>
      <c r="MOL66" s="5"/>
      <c r="MOM66" s="5"/>
      <c r="MON66" s="5"/>
      <c r="MOO66" s="5"/>
      <c r="MOP66" s="5"/>
      <c r="MOQ66" s="5"/>
      <c r="MOR66" s="5"/>
      <c r="MOS66" s="5"/>
      <c r="MOT66" s="5"/>
      <c r="MOU66" s="5"/>
      <c r="MOV66" s="5"/>
      <c r="MOW66" s="5"/>
      <c r="MOX66" s="5"/>
      <c r="MOY66" s="5"/>
      <c r="MOZ66" s="5"/>
      <c r="MPA66" s="5"/>
      <c r="MPB66" s="5"/>
      <c r="MPC66" s="5"/>
      <c r="MPD66" s="5"/>
      <c r="MPE66" s="5"/>
      <c r="MPF66" s="5"/>
      <c r="MPG66" s="5"/>
      <c r="MPH66" s="5"/>
      <c r="MPI66" s="5"/>
      <c r="MPJ66" s="5"/>
      <c r="MPK66" s="5"/>
      <c r="MPL66" s="5"/>
      <c r="MPM66" s="5"/>
      <c r="MPN66" s="5"/>
      <c r="MPO66" s="5"/>
      <c r="MPP66" s="5"/>
      <c r="MPQ66" s="5"/>
      <c r="MPR66" s="5"/>
      <c r="MPS66" s="5"/>
      <c r="MPT66" s="5"/>
      <c r="MPU66" s="5"/>
      <c r="MPV66" s="5"/>
      <c r="MPW66" s="5"/>
      <c r="MPX66" s="5"/>
      <c r="MPY66" s="5"/>
      <c r="MPZ66" s="5"/>
      <c r="MQA66" s="5"/>
      <c r="MQB66" s="5"/>
      <c r="MQC66" s="5"/>
      <c r="MQD66" s="5"/>
      <c r="MQE66" s="5"/>
      <c r="MQF66" s="5"/>
      <c r="MQG66" s="5"/>
      <c r="MQH66" s="5"/>
      <c r="MQI66" s="5"/>
      <c r="MQJ66" s="5"/>
      <c r="MQK66" s="5"/>
      <c r="MQL66" s="5"/>
      <c r="MQM66" s="5"/>
      <c r="MQN66" s="5"/>
      <c r="MQO66" s="5"/>
      <c r="MQP66" s="5"/>
      <c r="MQQ66" s="5"/>
      <c r="MQR66" s="5"/>
      <c r="MQS66" s="5"/>
      <c r="MQT66" s="5"/>
      <c r="MQU66" s="5"/>
      <c r="MQV66" s="5"/>
      <c r="MQW66" s="5"/>
      <c r="MQX66" s="5"/>
      <c r="MQY66" s="5"/>
      <c r="MQZ66" s="5"/>
      <c r="MRA66" s="5"/>
      <c r="MRB66" s="5"/>
      <c r="MRC66" s="5"/>
      <c r="MRD66" s="5"/>
      <c r="MRE66" s="5"/>
      <c r="MRF66" s="5"/>
      <c r="MRG66" s="5"/>
      <c r="MRH66" s="5"/>
      <c r="MRI66" s="5"/>
      <c r="MRJ66" s="5"/>
      <c r="MRK66" s="5"/>
      <c r="MRL66" s="5"/>
      <c r="MRM66" s="5"/>
      <c r="MRN66" s="5"/>
      <c r="MRO66" s="5"/>
      <c r="MRP66" s="5"/>
      <c r="MRQ66" s="5"/>
      <c r="MRR66" s="5"/>
      <c r="MRS66" s="5"/>
      <c r="MRT66" s="5"/>
      <c r="MRU66" s="5"/>
      <c r="MRV66" s="5"/>
      <c r="MRW66" s="5"/>
      <c r="MRX66" s="5"/>
      <c r="MRY66" s="5"/>
      <c r="MRZ66" s="5"/>
      <c r="MSA66" s="5"/>
      <c r="MSB66" s="5"/>
      <c r="MSC66" s="5"/>
      <c r="MSD66" s="5"/>
      <c r="MSE66" s="5"/>
      <c r="MSF66" s="5"/>
      <c r="MSG66" s="5"/>
      <c r="MSH66" s="5"/>
      <c r="MSI66" s="5"/>
      <c r="MSJ66" s="5"/>
      <c r="MSK66" s="5"/>
      <c r="MSL66" s="5"/>
      <c r="MSM66" s="5"/>
      <c r="MSN66" s="5"/>
      <c r="MSO66" s="5"/>
      <c r="MSP66" s="5"/>
      <c r="MSQ66" s="5"/>
      <c r="MSR66" s="5"/>
      <c r="MSS66" s="5"/>
      <c r="MST66" s="5"/>
      <c r="MSU66" s="5"/>
      <c r="MSV66" s="5"/>
      <c r="MSW66" s="5"/>
      <c r="MSX66" s="5"/>
      <c r="MSY66" s="5"/>
      <c r="MSZ66" s="5"/>
      <c r="MTA66" s="5"/>
      <c r="MTB66" s="5"/>
      <c r="MTC66" s="5"/>
      <c r="MTD66" s="5"/>
      <c r="MTE66" s="5"/>
      <c r="MTF66" s="5"/>
      <c r="MTG66" s="5"/>
      <c r="MTH66" s="5"/>
      <c r="MTI66" s="5"/>
      <c r="MTJ66" s="5"/>
      <c r="MTK66" s="5"/>
      <c r="MTL66" s="5"/>
      <c r="MTM66" s="5"/>
      <c r="MTN66" s="5"/>
      <c r="MTO66" s="5"/>
      <c r="MTP66" s="5"/>
      <c r="MTQ66" s="5"/>
      <c r="MTR66" s="5"/>
      <c r="MTS66" s="5"/>
      <c r="MTT66" s="5"/>
      <c r="MTU66" s="5"/>
      <c r="MTV66" s="5"/>
      <c r="MTW66" s="5"/>
      <c r="MTX66" s="5"/>
      <c r="MTY66" s="5"/>
      <c r="MTZ66" s="5"/>
      <c r="MUA66" s="5"/>
      <c r="MUB66" s="5"/>
      <c r="MUC66" s="5"/>
      <c r="MUD66" s="5"/>
      <c r="MUE66" s="5"/>
      <c r="MUF66" s="5"/>
      <c r="MUG66" s="5"/>
      <c r="MUH66" s="5"/>
      <c r="MUI66" s="5"/>
      <c r="MUJ66" s="5"/>
      <c r="MUK66" s="5"/>
      <c r="MUL66" s="5"/>
      <c r="MUM66" s="5"/>
      <c r="MUN66" s="5"/>
      <c r="MUO66" s="5"/>
      <c r="MUP66" s="5"/>
      <c r="MUQ66" s="5"/>
      <c r="MUR66" s="5"/>
      <c r="MUS66" s="5"/>
      <c r="MUT66" s="5"/>
      <c r="MUU66" s="5"/>
      <c r="MUV66" s="5"/>
      <c r="MUW66" s="5"/>
      <c r="MUX66" s="5"/>
      <c r="MUY66" s="5"/>
      <c r="MUZ66" s="5"/>
      <c r="MVA66" s="5"/>
      <c r="MVB66" s="5"/>
      <c r="MVC66" s="5"/>
      <c r="MVD66" s="5"/>
      <c r="MVE66" s="5"/>
      <c r="MVF66" s="5"/>
      <c r="MVG66" s="5"/>
      <c r="MVH66" s="5"/>
      <c r="MVI66" s="5"/>
      <c r="MVJ66" s="5"/>
      <c r="MVK66" s="5"/>
      <c r="MVL66" s="5"/>
      <c r="MVM66" s="5"/>
      <c r="MVN66" s="5"/>
      <c r="MVO66" s="5"/>
      <c r="MVP66" s="5"/>
      <c r="MVQ66" s="5"/>
      <c r="MVR66" s="5"/>
      <c r="MVS66" s="5"/>
      <c r="MVT66" s="5"/>
      <c r="MVU66" s="5"/>
      <c r="MVV66" s="5"/>
      <c r="MVW66" s="5"/>
      <c r="MVX66" s="5"/>
      <c r="MVY66" s="5"/>
      <c r="MVZ66" s="5"/>
      <c r="MWA66" s="5"/>
      <c r="MWB66" s="5"/>
      <c r="MWC66" s="5"/>
      <c r="MWD66" s="5"/>
      <c r="MWE66" s="5"/>
      <c r="MWF66" s="5"/>
      <c r="MWG66" s="5"/>
      <c r="MWH66" s="5"/>
      <c r="MWI66" s="5"/>
      <c r="MWJ66" s="5"/>
      <c r="MWK66" s="5"/>
      <c r="MWL66" s="5"/>
      <c r="MWM66" s="5"/>
      <c r="MWN66" s="5"/>
      <c r="MWO66" s="5"/>
      <c r="MWP66" s="5"/>
      <c r="MWQ66" s="5"/>
      <c r="MWR66" s="5"/>
      <c r="MWS66" s="5"/>
      <c r="MWT66" s="5"/>
      <c r="MWU66" s="5"/>
      <c r="MWV66" s="5"/>
      <c r="MWW66" s="5"/>
      <c r="MWX66" s="5"/>
      <c r="MWY66" s="5"/>
      <c r="MWZ66" s="5"/>
      <c r="MXA66" s="5"/>
      <c r="MXB66" s="5"/>
      <c r="MXC66" s="5"/>
      <c r="MXD66" s="5"/>
      <c r="MXE66" s="5"/>
      <c r="MXF66" s="5"/>
      <c r="MXG66" s="5"/>
      <c r="MXH66" s="5"/>
      <c r="MXI66" s="5"/>
      <c r="MXJ66" s="5"/>
      <c r="MXK66" s="5"/>
      <c r="MXL66" s="5"/>
      <c r="MXM66" s="5"/>
      <c r="MXN66" s="5"/>
      <c r="MXO66" s="5"/>
      <c r="MXP66" s="5"/>
      <c r="MXQ66" s="5"/>
      <c r="MXR66" s="5"/>
      <c r="MXS66" s="5"/>
      <c r="MXT66" s="5"/>
      <c r="MXU66" s="5"/>
      <c r="MXV66" s="5"/>
      <c r="MXW66" s="5"/>
      <c r="MXX66" s="5"/>
      <c r="MXY66" s="5"/>
      <c r="MXZ66" s="5"/>
      <c r="MYA66" s="5"/>
      <c r="MYB66" s="5"/>
      <c r="MYC66" s="5"/>
      <c r="MYD66" s="5"/>
      <c r="MYE66" s="5"/>
      <c r="MYF66" s="5"/>
      <c r="MYG66" s="5"/>
      <c r="MYH66" s="5"/>
      <c r="MYI66" s="5"/>
      <c r="MYJ66" s="5"/>
      <c r="MYK66" s="5"/>
      <c r="MYL66" s="5"/>
      <c r="MYM66" s="5"/>
      <c r="MYN66" s="5"/>
      <c r="MYO66" s="5"/>
      <c r="MYP66" s="5"/>
      <c r="MYQ66" s="5"/>
      <c r="MYR66" s="5"/>
      <c r="MYS66" s="5"/>
      <c r="MYT66" s="5"/>
      <c r="MYU66" s="5"/>
      <c r="MYV66" s="5"/>
      <c r="MYW66" s="5"/>
      <c r="MYX66" s="5"/>
      <c r="MYY66" s="5"/>
      <c r="MYZ66" s="5"/>
      <c r="MZA66" s="5"/>
      <c r="MZB66" s="5"/>
      <c r="MZC66" s="5"/>
      <c r="MZD66" s="5"/>
      <c r="MZE66" s="5"/>
      <c r="MZF66" s="5"/>
      <c r="MZG66" s="5"/>
      <c r="MZH66" s="5"/>
      <c r="MZI66" s="5"/>
      <c r="MZJ66" s="5"/>
      <c r="MZK66" s="5"/>
      <c r="MZL66" s="5"/>
      <c r="MZM66" s="5"/>
      <c r="MZN66" s="5"/>
      <c r="MZO66" s="5"/>
      <c r="MZP66" s="5"/>
      <c r="MZQ66" s="5"/>
      <c r="MZR66" s="5"/>
      <c r="MZS66" s="5"/>
      <c r="MZT66" s="5"/>
      <c r="MZU66" s="5"/>
      <c r="MZV66" s="5"/>
      <c r="MZW66" s="5"/>
      <c r="MZX66" s="5"/>
      <c r="MZY66" s="5"/>
      <c r="MZZ66" s="5"/>
      <c r="NAA66" s="5"/>
      <c r="NAB66" s="5"/>
      <c r="NAC66" s="5"/>
      <c r="NAD66" s="5"/>
      <c r="NAE66" s="5"/>
      <c r="NAF66" s="5"/>
      <c r="NAG66" s="5"/>
      <c r="NAH66" s="5"/>
      <c r="NAI66" s="5"/>
      <c r="NAJ66" s="5"/>
      <c r="NAK66" s="5"/>
      <c r="NAL66" s="5"/>
      <c r="NAM66" s="5"/>
      <c r="NAN66" s="5"/>
      <c r="NAO66" s="5"/>
      <c r="NAP66" s="5"/>
      <c r="NAQ66" s="5"/>
      <c r="NAR66" s="5"/>
      <c r="NAS66" s="5"/>
      <c r="NAT66" s="5"/>
      <c r="NAU66" s="5"/>
      <c r="NAV66" s="5"/>
      <c r="NAW66" s="5"/>
      <c r="NAX66" s="5"/>
      <c r="NAY66" s="5"/>
      <c r="NAZ66" s="5"/>
      <c r="NBA66" s="5"/>
      <c r="NBB66" s="5"/>
      <c r="NBC66" s="5"/>
      <c r="NBD66" s="5"/>
      <c r="NBE66" s="5"/>
      <c r="NBF66" s="5"/>
      <c r="NBG66" s="5"/>
      <c r="NBH66" s="5"/>
      <c r="NBI66" s="5"/>
      <c r="NBJ66" s="5"/>
      <c r="NBK66" s="5"/>
      <c r="NBL66" s="5"/>
      <c r="NBM66" s="5"/>
      <c r="NBN66" s="5"/>
      <c r="NBO66" s="5"/>
      <c r="NBP66" s="5"/>
      <c r="NBQ66" s="5"/>
      <c r="NBR66" s="5"/>
      <c r="NBS66" s="5"/>
      <c r="NBT66" s="5"/>
      <c r="NBU66" s="5"/>
      <c r="NBV66" s="5"/>
      <c r="NBW66" s="5"/>
      <c r="NBX66" s="5"/>
      <c r="NBY66" s="5"/>
      <c r="NBZ66" s="5"/>
      <c r="NCA66" s="5"/>
      <c r="NCB66" s="5"/>
      <c r="NCC66" s="5"/>
      <c r="NCD66" s="5"/>
      <c r="NCE66" s="5"/>
      <c r="NCF66" s="5"/>
      <c r="NCG66" s="5"/>
      <c r="NCH66" s="5"/>
      <c r="NCI66" s="5"/>
      <c r="NCJ66" s="5"/>
      <c r="NCK66" s="5"/>
      <c r="NCL66" s="5"/>
      <c r="NCM66" s="5"/>
      <c r="NCN66" s="5"/>
      <c r="NCO66" s="5"/>
      <c r="NCP66" s="5"/>
      <c r="NCQ66" s="5"/>
      <c r="NCR66" s="5"/>
      <c r="NCS66" s="5"/>
      <c r="NCT66" s="5"/>
      <c r="NCU66" s="5"/>
      <c r="NCV66" s="5"/>
      <c r="NCW66" s="5"/>
      <c r="NCX66" s="5"/>
      <c r="NCY66" s="5"/>
      <c r="NCZ66" s="5"/>
      <c r="NDA66" s="5"/>
      <c r="NDB66" s="5"/>
      <c r="NDC66" s="5"/>
      <c r="NDD66" s="5"/>
      <c r="NDE66" s="5"/>
      <c r="NDF66" s="5"/>
      <c r="NDG66" s="5"/>
      <c r="NDH66" s="5"/>
      <c r="NDI66" s="5"/>
      <c r="NDJ66" s="5"/>
      <c r="NDK66" s="5"/>
      <c r="NDL66" s="5"/>
      <c r="NDM66" s="5"/>
      <c r="NDN66" s="5"/>
      <c r="NDO66" s="5"/>
      <c r="NDP66" s="5"/>
      <c r="NDQ66" s="5"/>
      <c r="NDR66" s="5"/>
      <c r="NDS66" s="5"/>
      <c r="NDT66" s="5"/>
      <c r="NDU66" s="5"/>
      <c r="NDV66" s="5"/>
      <c r="NDW66" s="5"/>
      <c r="NDX66" s="5"/>
      <c r="NDY66" s="5"/>
      <c r="NDZ66" s="5"/>
      <c r="NEA66" s="5"/>
      <c r="NEB66" s="5"/>
      <c r="NEC66" s="5"/>
      <c r="NED66" s="5"/>
      <c r="NEE66" s="5"/>
      <c r="NEF66" s="5"/>
      <c r="NEG66" s="5"/>
      <c r="NEH66" s="5"/>
      <c r="NEI66" s="5"/>
      <c r="NEJ66" s="5"/>
      <c r="NEK66" s="5"/>
      <c r="NEL66" s="5"/>
      <c r="NEM66" s="5"/>
      <c r="NEN66" s="5"/>
      <c r="NEO66" s="5"/>
      <c r="NEP66" s="5"/>
      <c r="NEQ66" s="5"/>
      <c r="NER66" s="5"/>
      <c r="NES66" s="5"/>
      <c r="NET66" s="5"/>
      <c r="NEU66" s="5"/>
      <c r="NEV66" s="5"/>
      <c r="NEW66" s="5"/>
      <c r="NEX66" s="5"/>
      <c r="NEY66" s="5"/>
      <c r="NEZ66" s="5"/>
      <c r="NFA66" s="5"/>
      <c r="NFB66" s="5"/>
      <c r="NFC66" s="5"/>
      <c r="NFD66" s="5"/>
      <c r="NFE66" s="5"/>
      <c r="NFF66" s="5"/>
      <c r="NFG66" s="5"/>
      <c r="NFH66" s="5"/>
      <c r="NFI66" s="5"/>
      <c r="NFJ66" s="5"/>
      <c r="NFK66" s="5"/>
      <c r="NFL66" s="5"/>
      <c r="NFM66" s="5"/>
      <c r="NFN66" s="5"/>
      <c r="NFO66" s="5"/>
      <c r="NFP66" s="5"/>
      <c r="NFQ66" s="5"/>
      <c r="NFR66" s="5"/>
      <c r="NFS66" s="5"/>
      <c r="NFT66" s="5"/>
      <c r="NFU66" s="5"/>
      <c r="NFV66" s="5"/>
      <c r="NFW66" s="5"/>
      <c r="NFX66" s="5"/>
      <c r="NFY66" s="5"/>
      <c r="NFZ66" s="5"/>
      <c r="NGA66" s="5"/>
      <c r="NGB66" s="5"/>
      <c r="NGC66" s="5"/>
      <c r="NGD66" s="5"/>
      <c r="NGE66" s="5"/>
      <c r="NGF66" s="5"/>
      <c r="NGG66" s="5"/>
      <c r="NGH66" s="5"/>
      <c r="NGI66" s="5"/>
      <c r="NGJ66" s="5"/>
      <c r="NGK66" s="5"/>
      <c r="NGL66" s="5"/>
      <c r="NGM66" s="5"/>
      <c r="NGN66" s="5"/>
      <c r="NGO66" s="5"/>
      <c r="NGP66" s="5"/>
      <c r="NGQ66" s="5"/>
      <c r="NGR66" s="5"/>
      <c r="NGS66" s="5"/>
      <c r="NGT66" s="5"/>
      <c r="NGU66" s="5"/>
      <c r="NGV66" s="5"/>
      <c r="NGW66" s="5"/>
      <c r="NGX66" s="5"/>
      <c r="NGY66" s="5"/>
      <c r="NGZ66" s="5"/>
      <c r="NHA66" s="5"/>
      <c r="NHB66" s="5"/>
      <c r="NHC66" s="5"/>
      <c r="NHD66" s="5"/>
      <c r="NHE66" s="5"/>
      <c r="NHF66" s="5"/>
      <c r="NHG66" s="5"/>
      <c r="NHH66" s="5"/>
      <c r="NHI66" s="5"/>
      <c r="NHJ66" s="5"/>
      <c r="NHK66" s="5"/>
      <c r="NHL66" s="5"/>
      <c r="NHM66" s="5"/>
      <c r="NHN66" s="5"/>
      <c r="NHO66" s="5"/>
      <c r="NHP66" s="5"/>
      <c r="NHQ66" s="5"/>
      <c r="NHR66" s="5"/>
      <c r="NHS66" s="5"/>
      <c r="NHT66" s="5"/>
      <c r="NHU66" s="5"/>
      <c r="NHV66" s="5"/>
      <c r="NHW66" s="5"/>
      <c r="NHX66" s="5"/>
      <c r="NHY66" s="5"/>
      <c r="NHZ66" s="5"/>
      <c r="NIA66" s="5"/>
      <c r="NIB66" s="5"/>
      <c r="NIC66" s="5"/>
      <c r="NID66" s="5"/>
      <c r="NIE66" s="5"/>
      <c r="NIF66" s="5"/>
      <c r="NIG66" s="5"/>
      <c r="NIH66" s="5"/>
      <c r="NII66" s="5"/>
      <c r="NIJ66" s="5"/>
      <c r="NIK66" s="5"/>
      <c r="NIL66" s="5"/>
      <c r="NIM66" s="5"/>
      <c r="NIN66" s="5"/>
      <c r="NIO66" s="5"/>
      <c r="NIP66" s="5"/>
      <c r="NIQ66" s="5"/>
      <c r="NIR66" s="5"/>
      <c r="NIS66" s="5"/>
      <c r="NIT66" s="5"/>
      <c r="NIU66" s="5"/>
      <c r="NIV66" s="5"/>
      <c r="NIW66" s="5"/>
      <c r="NIX66" s="5"/>
      <c r="NIY66" s="5"/>
      <c r="NIZ66" s="5"/>
      <c r="NJA66" s="5"/>
      <c r="NJB66" s="5"/>
      <c r="NJC66" s="5"/>
      <c r="NJD66" s="5"/>
      <c r="NJE66" s="5"/>
      <c r="NJF66" s="5"/>
      <c r="NJG66" s="5"/>
      <c r="NJH66" s="5"/>
      <c r="NJI66" s="5"/>
      <c r="NJJ66" s="5"/>
      <c r="NJK66" s="5"/>
      <c r="NJL66" s="5"/>
      <c r="NJM66" s="5"/>
      <c r="NJN66" s="5"/>
      <c r="NJO66" s="5"/>
      <c r="NJP66" s="5"/>
      <c r="NJQ66" s="5"/>
      <c r="NJR66" s="5"/>
      <c r="NJS66" s="5"/>
      <c r="NJT66" s="5"/>
      <c r="NJU66" s="5"/>
      <c r="NJV66" s="5"/>
      <c r="NJW66" s="5"/>
      <c r="NJX66" s="5"/>
      <c r="NJY66" s="5"/>
      <c r="NJZ66" s="5"/>
      <c r="NKA66" s="5"/>
      <c r="NKB66" s="5"/>
      <c r="NKC66" s="5"/>
      <c r="NKD66" s="5"/>
      <c r="NKE66" s="5"/>
      <c r="NKF66" s="5"/>
      <c r="NKG66" s="5"/>
      <c r="NKH66" s="5"/>
      <c r="NKI66" s="5"/>
      <c r="NKJ66" s="5"/>
      <c r="NKK66" s="5"/>
      <c r="NKL66" s="5"/>
      <c r="NKM66" s="5"/>
      <c r="NKN66" s="5"/>
      <c r="NKO66" s="5"/>
      <c r="NKP66" s="5"/>
      <c r="NKQ66" s="5"/>
      <c r="NKR66" s="5"/>
      <c r="NKS66" s="5"/>
      <c r="NKT66" s="5"/>
      <c r="NKU66" s="5"/>
      <c r="NKV66" s="5"/>
      <c r="NKW66" s="5"/>
      <c r="NKX66" s="5"/>
      <c r="NKY66" s="5"/>
      <c r="NKZ66" s="5"/>
      <c r="NLA66" s="5"/>
      <c r="NLB66" s="5"/>
      <c r="NLC66" s="5"/>
      <c r="NLD66" s="5"/>
      <c r="NLE66" s="5"/>
      <c r="NLF66" s="5"/>
      <c r="NLG66" s="5"/>
      <c r="NLH66" s="5"/>
      <c r="NLI66" s="5"/>
      <c r="NLJ66" s="5"/>
      <c r="NLK66" s="5"/>
      <c r="NLL66" s="5"/>
      <c r="NLM66" s="5"/>
      <c r="NLN66" s="5"/>
      <c r="NLO66" s="5"/>
      <c r="NLP66" s="5"/>
      <c r="NLQ66" s="5"/>
      <c r="NLR66" s="5"/>
      <c r="NLS66" s="5"/>
      <c r="NLT66" s="5"/>
      <c r="NLU66" s="5"/>
      <c r="NLV66" s="5"/>
      <c r="NLW66" s="5"/>
      <c r="NLX66" s="5"/>
      <c r="NLY66" s="5"/>
      <c r="NLZ66" s="5"/>
      <c r="NMA66" s="5"/>
      <c r="NMB66" s="5"/>
      <c r="NMC66" s="5"/>
      <c r="NMD66" s="5"/>
      <c r="NME66" s="5"/>
      <c r="NMF66" s="5"/>
      <c r="NMG66" s="5"/>
      <c r="NMH66" s="5"/>
      <c r="NMI66" s="5"/>
      <c r="NMJ66" s="5"/>
      <c r="NMK66" s="5"/>
      <c r="NML66" s="5"/>
      <c r="NMM66" s="5"/>
      <c r="NMN66" s="5"/>
      <c r="NMO66" s="5"/>
      <c r="NMP66" s="5"/>
      <c r="NMQ66" s="5"/>
      <c r="NMR66" s="5"/>
      <c r="NMS66" s="5"/>
      <c r="NMT66" s="5"/>
      <c r="NMU66" s="5"/>
      <c r="NMV66" s="5"/>
      <c r="NMW66" s="5"/>
      <c r="NMX66" s="5"/>
      <c r="NMY66" s="5"/>
      <c r="NMZ66" s="5"/>
      <c r="NNA66" s="5"/>
      <c r="NNB66" s="5"/>
      <c r="NNC66" s="5"/>
      <c r="NND66" s="5"/>
      <c r="NNE66" s="5"/>
      <c r="NNF66" s="5"/>
      <c r="NNG66" s="5"/>
      <c r="NNH66" s="5"/>
      <c r="NNI66" s="5"/>
      <c r="NNJ66" s="5"/>
      <c r="NNK66" s="5"/>
      <c r="NNL66" s="5"/>
      <c r="NNM66" s="5"/>
      <c r="NNN66" s="5"/>
      <c r="NNO66" s="5"/>
      <c r="NNP66" s="5"/>
      <c r="NNQ66" s="5"/>
      <c r="NNR66" s="5"/>
      <c r="NNS66" s="5"/>
      <c r="NNT66" s="5"/>
      <c r="NNU66" s="5"/>
      <c r="NNV66" s="5"/>
      <c r="NNW66" s="5"/>
      <c r="NNX66" s="5"/>
      <c r="NNY66" s="5"/>
      <c r="NNZ66" s="5"/>
      <c r="NOA66" s="5"/>
      <c r="NOB66" s="5"/>
      <c r="NOC66" s="5"/>
      <c r="NOD66" s="5"/>
      <c r="NOE66" s="5"/>
      <c r="NOF66" s="5"/>
      <c r="NOG66" s="5"/>
      <c r="NOH66" s="5"/>
      <c r="NOI66" s="5"/>
      <c r="NOJ66" s="5"/>
      <c r="NOK66" s="5"/>
      <c r="NOL66" s="5"/>
      <c r="NOM66" s="5"/>
      <c r="NON66" s="5"/>
      <c r="NOO66" s="5"/>
      <c r="NOP66" s="5"/>
      <c r="NOQ66" s="5"/>
      <c r="NOR66" s="5"/>
      <c r="NOS66" s="5"/>
      <c r="NOT66" s="5"/>
      <c r="NOU66" s="5"/>
      <c r="NOV66" s="5"/>
      <c r="NOW66" s="5"/>
      <c r="NOX66" s="5"/>
      <c r="NOY66" s="5"/>
      <c r="NOZ66" s="5"/>
      <c r="NPA66" s="5"/>
      <c r="NPB66" s="5"/>
      <c r="NPC66" s="5"/>
      <c r="NPD66" s="5"/>
      <c r="NPE66" s="5"/>
      <c r="NPF66" s="5"/>
      <c r="NPG66" s="5"/>
      <c r="NPH66" s="5"/>
      <c r="NPI66" s="5"/>
      <c r="NPJ66" s="5"/>
      <c r="NPK66" s="5"/>
      <c r="NPL66" s="5"/>
      <c r="NPM66" s="5"/>
      <c r="NPN66" s="5"/>
      <c r="NPO66" s="5"/>
      <c r="NPP66" s="5"/>
      <c r="NPQ66" s="5"/>
      <c r="NPR66" s="5"/>
      <c r="NPS66" s="5"/>
      <c r="NPT66" s="5"/>
      <c r="NPU66" s="5"/>
      <c r="NPV66" s="5"/>
      <c r="NPW66" s="5"/>
      <c r="NPX66" s="5"/>
      <c r="NPY66" s="5"/>
      <c r="NPZ66" s="5"/>
      <c r="NQA66" s="5"/>
      <c r="NQB66" s="5"/>
      <c r="NQC66" s="5"/>
      <c r="NQD66" s="5"/>
      <c r="NQE66" s="5"/>
      <c r="NQF66" s="5"/>
      <c r="NQG66" s="5"/>
      <c r="NQH66" s="5"/>
      <c r="NQI66" s="5"/>
      <c r="NQJ66" s="5"/>
      <c r="NQK66" s="5"/>
      <c r="NQL66" s="5"/>
      <c r="NQM66" s="5"/>
      <c r="NQN66" s="5"/>
      <c r="NQO66" s="5"/>
      <c r="NQP66" s="5"/>
      <c r="NQQ66" s="5"/>
      <c r="NQR66" s="5"/>
      <c r="NQS66" s="5"/>
      <c r="NQT66" s="5"/>
      <c r="NQU66" s="5"/>
      <c r="NQV66" s="5"/>
      <c r="NQW66" s="5"/>
      <c r="NQX66" s="5"/>
      <c r="NQY66" s="5"/>
      <c r="NQZ66" s="5"/>
      <c r="NRA66" s="5"/>
      <c r="NRB66" s="5"/>
      <c r="NRC66" s="5"/>
      <c r="NRD66" s="5"/>
      <c r="NRE66" s="5"/>
      <c r="NRF66" s="5"/>
      <c r="NRG66" s="5"/>
      <c r="NRH66" s="5"/>
      <c r="NRI66" s="5"/>
      <c r="NRJ66" s="5"/>
      <c r="NRK66" s="5"/>
      <c r="NRL66" s="5"/>
      <c r="NRM66" s="5"/>
      <c r="NRN66" s="5"/>
      <c r="NRO66" s="5"/>
      <c r="NRP66" s="5"/>
      <c r="NRQ66" s="5"/>
      <c r="NRR66" s="5"/>
      <c r="NRS66" s="5"/>
      <c r="NRT66" s="5"/>
      <c r="NRU66" s="5"/>
      <c r="NRV66" s="5"/>
      <c r="NRW66" s="5"/>
      <c r="NRX66" s="5"/>
      <c r="NRY66" s="5"/>
      <c r="NRZ66" s="5"/>
      <c r="NSA66" s="5"/>
      <c r="NSB66" s="5"/>
      <c r="NSC66" s="5"/>
      <c r="NSD66" s="5"/>
      <c r="NSE66" s="5"/>
      <c r="NSF66" s="5"/>
      <c r="NSG66" s="5"/>
      <c r="NSH66" s="5"/>
      <c r="NSI66" s="5"/>
      <c r="NSJ66" s="5"/>
      <c r="NSK66" s="5"/>
      <c r="NSL66" s="5"/>
      <c r="NSM66" s="5"/>
      <c r="NSN66" s="5"/>
      <c r="NSO66" s="5"/>
      <c r="NSP66" s="5"/>
      <c r="NSQ66" s="5"/>
      <c r="NSR66" s="5"/>
      <c r="NSS66" s="5"/>
      <c r="NST66" s="5"/>
      <c r="NSU66" s="5"/>
      <c r="NSV66" s="5"/>
      <c r="NSW66" s="5"/>
      <c r="NSX66" s="5"/>
      <c r="NSY66" s="5"/>
      <c r="NSZ66" s="5"/>
      <c r="NTA66" s="5"/>
      <c r="NTB66" s="5"/>
      <c r="NTC66" s="5"/>
      <c r="NTD66" s="5"/>
      <c r="NTE66" s="5"/>
      <c r="NTF66" s="5"/>
      <c r="NTG66" s="5"/>
      <c r="NTH66" s="5"/>
      <c r="NTI66" s="5"/>
      <c r="NTJ66" s="5"/>
      <c r="NTK66" s="5"/>
      <c r="NTL66" s="5"/>
      <c r="NTM66" s="5"/>
      <c r="NTN66" s="5"/>
      <c r="NTO66" s="5"/>
      <c r="NTP66" s="5"/>
      <c r="NTQ66" s="5"/>
      <c r="NTR66" s="5"/>
      <c r="NTS66" s="5"/>
      <c r="NTT66" s="5"/>
      <c r="NTU66" s="5"/>
      <c r="NTV66" s="5"/>
      <c r="NTW66" s="5"/>
      <c r="NTX66" s="5"/>
      <c r="NTY66" s="5"/>
      <c r="NTZ66" s="5"/>
      <c r="NUA66" s="5"/>
      <c r="NUB66" s="5"/>
      <c r="NUC66" s="5"/>
      <c r="NUD66" s="5"/>
      <c r="NUE66" s="5"/>
      <c r="NUF66" s="5"/>
      <c r="NUG66" s="5"/>
      <c r="NUH66" s="5"/>
      <c r="NUI66" s="5"/>
      <c r="NUJ66" s="5"/>
      <c r="NUK66" s="5"/>
      <c r="NUL66" s="5"/>
      <c r="NUM66" s="5"/>
      <c r="NUN66" s="5"/>
      <c r="NUO66" s="5"/>
      <c r="NUP66" s="5"/>
      <c r="NUQ66" s="5"/>
      <c r="NUR66" s="5"/>
      <c r="NUS66" s="5"/>
      <c r="NUT66" s="5"/>
      <c r="NUU66" s="5"/>
      <c r="NUV66" s="5"/>
      <c r="NUW66" s="5"/>
      <c r="NUX66" s="5"/>
      <c r="NUY66" s="5"/>
      <c r="NUZ66" s="5"/>
      <c r="NVA66" s="5"/>
      <c r="NVB66" s="5"/>
      <c r="NVC66" s="5"/>
      <c r="NVD66" s="5"/>
      <c r="NVE66" s="5"/>
      <c r="NVF66" s="5"/>
      <c r="NVG66" s="5"/>
      <c r="NVH66" s="5"/>
      <c r="NVI66" s="5"/>
      <c r="NVJ66" s="5"/>
      <c r="NVK66" s="5"/>
      <c r="NVL66" s="5"/>
      <c r="NVM66" s="5"/>
      <c r="NVN66" s="5"/>
      <c r="NVO66" s="5"/>
      <c r="NVP66" s="5"/>
      <c r="NVQ66" s="5"/>
      <c r="NVR66" s="5"/>
      <c r="NVS66" s="5"/>
      <c r="NVT66" s="5"/>
      <c r="NVU66" s="5"/>
      <c r="NVV66" s="5"/>
      <c r="NVW66" s="5"/>
      <c r="NVX66" s="5"/>
      <c r="NVY66" s="5"/>
      <c r="NVZ66" s="5"/>
      <c r="NWA66" s="5"/>
      <c r="NWB66" s="5"/>
      <c r="NWC66" s="5"/>
      <c r="NWD66" s="5"/>
      <c r="NWE66" s="5"/>
      <c r="NWF66" s="5"/>
      <c r="NWG66" s="5"/>
      <c r="NWH66" s="5"/>
      <c r="NWI66" s="5"/>
      <c r="NWJ66" s="5"/>
      <c r="NWK66" s="5"/>
      <c r="NWL66" s="5"/>
      <c r="NWM66" s="5"/>
      <c r="NWN66" s="5"/>
      <c r="NWO66" s="5"/>
      <c r="NWP66" s="5"/>
      <c r="NWQ66" s="5"/>
      <c r="NWR66" s="5"/>
      <c r="NWS66" s="5"/>
      <c r="NWT66" s="5"/>
      <c r="NWU66" s="5"/>
      <c r="NWV66" s="5"/>
      <c r="NWW66" s="5"/>
      <c r="NWX66" s="5"/>
      <c r="NWY66" s="5"/>
      <c r="NWZ66" s="5"/>
      <c r="NXA66" s="5"/>
      <c r="NXB66" s="5"/>
      <c r="NXC66" s="5"/>
      <c r="NXD66" s="5"/>
      <c r="NXE66" s="5"/>
      <c r="NXF66" s="5"/>
      <c r="NXG66" s="5"/>
      <c r="NXH66" s="5"/>
      <c r="NXI66" s="5"/>
      <c r="NXJ66" s="5"/>
      <c r="NXK66" s="5"/>
      <c r="NXL66" s="5"/>
      <c r="NXM66" s="5"/>
      <c r="NXN66" s="5"/>
      <c r="NXO66" s="5"/>
      <c r="NXP66" s="5"/>
      <c r="NXQ66" s="5"/>
      <c r="NXR66" s="5"/>
      <c r="NXS66" s="5"/>
      <c r="NXT66" s="5"/>
      <c r="NXU66" s="5"/>
      <c r="NXV66" s="5"/>
      <c r="NXW66" s="5"/>
      <c r="NXX66" s="5"/>
      <c r="NXY66" s="5"/>
      <c r="NXZ66" s="5"/>
      <c r="NYA66" s="5"/>
      <c r="NYB66" s="5"/>
      <c r="NYC66" s="5"/>
      <c r="NYD66" s="5"/>
      <c r="NYE66" s="5"/>
      <c r="NYF66" s="5"/>
      <c r="NYG66" s="5"/>
      <c r="NYH66" s="5"/>
      <c r="NYI66" s="5"/>
      <c r="NYJ66" s="5"/>
      <c r="NYK66" s="5"/>
      <c r="NYL66" s="5"/>
      <c r="NYM66" s="5"/>
      <c r="NYN66" s="5"/>
      <c r="NYO66" s="5"/>
      <c r="NYP66" s="5"/>
      <c r="NYQ66" s="5"/>
      <c r="NYR66" s="5"/>
      <c r="NYS66" s="5"/>
      <c r="NYT66" s="5"/>
      <c r="NYU66" s="5"/>
      <c r="NYV66" s="5"/>
      <c r="NYW66" s="5"/>
      <c r="NYX66" s="5"/>
      <c r="NYY66" s="5"/>
      <c r="NYZ66" s="5"/>
      <c r="NZA66" s="5"/>
      <c r="NZB66" s="5"/>
      <c r="NZC66" s="5"/>
      <c r="NZD66" s="5"/>
      <c r="NZE66" s="5"/>
      <c r="NZF66" s="5"/>
      <c r="NZG66" s="5"/>
      <c r="NZH66" s="5"/>
      <c r="NZI66" s="5"/>
      <c r="NZJ66" s="5"/>
      <c r="NZK66" s="5"/>
      <c r="NZL66" s="5"/>
      <c r="NZM66" s="5"/>
      <c r="NZN66" s="5"/>
      <c r="NZO66" s="5"/>
      <c r="NZP66" s="5"/>
      <c r="NZQ66" s="5"/>
      <c r="NZR66" s="5"/>
      <c r="NZS66" s="5"/>
      <c r="NZT66" s="5"/>
      <c r="NZU66" s="5"/>
      <c r="NZV66" s="5"/>
      <c r="NZW66" s="5"/>
      <c r="NZX66" s="5"/>
      <c r="NZY66" s="5"/>
      <c r="NZZ66" s="5"/>
      <c r="OAA66" s="5"/>
      <c r="OAB66" s="5"/>
      <c r="OAC66" s="5"/>
      <c r="OAD66" s="5"/>
      <c r="OAE66" s="5"/>
      <c r="OAF66" s="5"/>
      <c r="OAG66" s="5"/>
      <c r="OAH66" s="5"/>
      <c r="OAI66" s="5"/>
      <c r="OAJ66" s="5"/>
      <c r="OAK66" s="5"/>
      <c r="OAL66" s="5"/>
      <c r="OAM66" s="5"/>
      <c r="OAN66" s="5"/>
      <c r="OAO66" s="5"/>
      <c r="OAP66" s="5"/>
      <c r="OAQ66" s="5"/>
      <c r="OAR66" s="5"/>
      <c r="OAS66" s="5"/>
      <c r="OAT66" s="5"/>
      <c r="OAU66" s="5"/>
      <c r="OAV66" s="5"/>
      <c r="OAW66" s="5"/>
      <c r="OAX66" s="5"/>
      <c r="OAY66" s="5"/>
      <c r="OAZ66" s="5"/>
      <c r="OBA66" s="5"/>
      <c r="OBB66" s="5"/>
      <c r="OBC66" s="5"/>
      <c r="OBD66" s="5"/>
      <c r="OBE66" s="5"/>
      <c r="OBF66" s="5"/>
      <c r="OBG66" s="5"/>
      <c r="OBH66" s="5"/>
      <c r="OBI66" s="5"/>
      <c r="OBJ66" s="5"/>
      <c r="OBK66" s="5"/>
      <c r="OBL66" s="5"/>
      <c r="OBM66" s="5"/>
      <c r="OBN66" s="5"/>
      <c r="OBO66" s="5"/>
      <c r="OBP66" s="5"/>
      <c r="OBQ66" s="5"/>
      <c r="OBR66" s="5"/>
      <c r="OBS66" s="5"/>
      <c r="OBT66" s="5"/>
      <c r="OBU66" s="5"/>
      <c r="OBV66" s="5"/>
      <c r="OBW66" s="5"/>
      <c r="OBX66" s="5"/>
      <c r="OBY66" s="5"/>
      <c r="OBZ66" s="5"/>
      <c r="OCA66" s="5"/>
      <c r="OCB66" s="5"/>
      <c r="OCC66" s="5"/>
      <c r="OCD66" s="5"/>
      <c r="OCE66" s="5"/>
      <c r="OCF66" s="5"/>
      <c r="OCG66" s="5"/>
      <c r="OCH66" s="5"/>
      <c r="OCI66" s="5"/>
      <c r="OCJ66" s="5"/>
      <c r="OCK66" s="5"/>
      <c r="OCL66" s="5"/>
      <c r="OCM66" s="5"/>
      <c r="OCN66" s="5"/>
      <c r="OCO66" s="5"/>
      <c r="OCP66" s="5"/>
      <c r="OCQ66" s="5"/>
      <c r="OCR66" s="5"/>
      <c r="OCS66" s="5"/>
      <c r="OCT66" s="5"/>
      <c r="OCU66" s="5"/>
      <c r="OCV66" s="5"/>
      <c r="OCW66" s="5"/>
      <c r="OCX66" s="5"/>
      <c r="OCY66" s="5"/>
      <c r="OCZ66" s="5"/>
      <c r="ODA66" s="5"/>
      <c r="ODB66" s="5"/>
      <c r="ODC66" s="5"/>
      <c r="ODD66" s="5"/>
      <c r="ODE66" s="5"/>
      <c r="ODF66" s="5"/>
      <c r="ODG66" s="5"/>
      <c r="ODH66" s="5"/>
      <c r="ODI66" s="5"/>
      <c r="ODJ66" s="5"/>
      <c r="ODK66" s="5"/>
      <c r="ODL66" s="5"/>
      <c r="ODM66" s="5"/>
      <c r="ODN66" s="5"/>
      <c r="ODO66" s="5"/>
      <c r="ODP66" s="5"/>
      <c r="ODQ66" s="5"/>
      <c r="ODR66" s="5"/>
      <c r="ODS66" s="5"/>
      <c r="ODT66" s="5"/>
      <c r="ODU66" s="5"/>
      <c r="ODV66" s="5"/>
      <c r="ODW66" s="5"/>
      <c r="ODX66" s="5"/>
      <c r="ODY66" s="5"/>
      <c r="ODZ66" s="5"/>
      <c r="OEA66" s="5"/>
      <c r="OEB66" s="5"/>
      <c r="OEC66" s="5"/>
      <c r="OED66" s="5"/>
      <c r="OEE66" s="5"/>
      <c r="OEF66" s="5"/>
      <c r="OEG66" s="5"/>
      <c r="OEH66" s="5"/>
      <c r="OEI66" s="5"/>
      <c r="OEJ66" s="5"/>
      <c r="OEK66" s="5"/>
      <c r="OEL66" s="5"/>
      <c r="OEM66" s="5"/>
      <c r="OEN66" s="5"/>
      <c r="OEO66" s="5"/>
      <c r="OEP66" s="5"/>
      <c r="OEQ66" s="5"/>
      <c r="OER66" s="5"/>
      <c r="OES66" s="5"/>
      <c r="OET66" s="5"/>
      <c r="OEU66" s="5"/>
      <c r="OEV66" s="5"/>
      <c r="OEW66" s="5"/>
      <c r="OEX66" s="5"/>
      <c r="OEY66" s="5"/>
      <c r="OEZ66" s="5"/>
      <c r="OFA66" s="5"/>
      <c r="OFB66" s="5"/>
      <c r="OFC66" s="5"/>
      <c r="OFD66" s="5"/>
      <c r="OFE66" s="5"/>
      <c r="OFF66" s="5"/>
      <c r="OFG66" s="5"/>
      <c r="OFH66" s="5"/>
      <c r="OFI66" s="5"/>
      <c r="OFJ66" s="5"/>
      <c r="OFK66" s="5"/>
      <c r="OFL66" s="5"/>
      <c r="OFM66" s="5"/>
      <c r="OFN66" s="5"/>
      <c r="OFO66" s="5"/>
      <c r="OFP66" s="5"/>
      <c r="OFQ66" s="5"/>
      <c r="OFR66" s="5"/>
      <c r="OFS66" s="5"/>
      <c r="OFT66" s="5"/>
      <c r="OFU66" s="5"/>
      <c r="OFV66" s="5"/>
      <c r="OFW66" s="5"/>
      <c r="OFX66" s="5"/>
      <c r="OFY66" s="5"/>
      <c r="OFZ66" s="5"/>
      <c r="OGA66" s="5"/>
      <c r="OGB66" s="5"/>
      <c r="OGC66" s="5"/>
      <c r="OGD66" s="5"/>
      <c r="OGE66" s="5"/>
      <c r="OGF66" s="5"/>
      <c r="OGG66" s="5"/>
      <c r="OGH66" s="5"/>
      <c r="OGI66" s="5"/>
      <c r="OGJ66" s="5"/>
      <c r="OGK66" s="5"/>
      <c r="OGL66" s="5"/>
      <c r="OGM66" s="5"/>
      <c r="OGN66" s="5"/>
      <c r="OGO66" s="5"/>
      <c r="OGP66" s="5"/>
      <c r="OGQ66" s="5"/>
      <c r="OGR66" s="5"/>
      <c r="OGS66" s="5"/>
      <c r="OGT66" s="5"/>
      <c r="OGU66" s="5"/>
      <c r="OGV66" s="5"/>
      <c r="OGW66" s="5"/>
      <c r="OGX66" s="5"/>
      <c r="OGY66" s="5"/>
      <c r="OGZ66" s="5"/>
      <c r="OHA66" s="5"/>
      <c r="OHB66" s="5"/>
      <c r="OHC66" s="5"/>
      <c r="OHD66" s="5"/>
      <c r="OHE66" s="5"/>
      <c r="OHF66" s="5"/>
      <c r="OHG66" s="5"/>
      <c r="OHH66" s="5"/>
      <c r="OHI66" s="5"/>
      <c r="OHJ66" s="5"/>
      <c r="OHK66" s="5"/>
      <c r="OHL66" s="5"/>
      <c r="OHM66" s="5"/>
      <c r="OHN66" s="5"/>
      <c r="OHO66" s="5"/>
      <c r="OHP66" s="5"/>
      <c r="OHQ66" s="5"/>
      <c r="OHR66" s="5"/>
      <c r="OHS66" s="5"/>
      <c r="OHT66" s="5"/>
      <c r="OHU66" s="5"/>
      <c r="OHV66" s="5"/>
      <c r="OHW66" s="5"/>
      <c r="OHX66" s="5"/>
      <c r="OHY66" s="5"/>
      <c r="OHZ66" s="5"/>
      <c r="OIA66" s="5"/>
      <c r="OIB66" s="5"/>
      <c r="OIC66" s="5"/>
      <c r="OID66" s="5"/>
      <c r="OIE66" s="5"/>
      <c r="OIF66" s="5"/>
      <c r="OIG66" s="5"/>
      <c r="OIH66" s="5"/>
      <c r="OII66" s="5"/>
      <c r="OIJ66" s="5"/>
      <c r="OIK66" s="5"/>
      <c r="OIL66" s="5"/>
      <c r="OIM66" s="5"/>
      <c r="OIN66" s="5"/>
      <c r="OIO66" s="5"/>
      <c r="OIP66" s="5"/>
      <c r="OIQ66" s="5"/>
      <c r="OIR66" s="5"/>
      <c r="OIS66" s="5"/>
      <c r="OIT66" s="5"/>
      <c r="OIU66" s="5"/>
      <c r="OIV66" s="5"/>
      <c r="OIW66" s="5"/>
      <c r="OIX66" s="5"/>
      <c r="OIY66" s="5"/>
      <c r="OIZ66" s="5"/>
      <c r="OJA66" s="5"/>
      <c r="OJB66" s="5"/>
      <c r="OJC66" s="5"/>
      <c r="OJD66" s="5"/>
      <c r="OJE66" s="5"/>
      <c r="OJF66" s="5"/>
      <c r="OJG66" s="5"/>
      <c r="OJH66" s="5"/>
      <c r="OJI66" s="5"/>
      <c r="OJJ66" s="5"/>
      <c r="OJK66" s="5"/>
      <c r="OJL66" s="5"/>
      <c r="OJM66" s="5"/>
      <c r="OJN66" s="5"/>
      <c r="OJO66" s="5"/>
      <c r="OJP66" s="5"/>
      <c r="OJQ66" s="5"/>
      <c r="OJR66" s="5"/>
      <c r="OJS66" s="5"/>
      <c r="OJT66" s="5"/>
      <c r="OJU66" s="5"/>
      <c r="OJV66" s="5"/>
      <c r="OJW66" s="5"/>
      <c r="OJX66" s="5"/>
      <c r="OJY66" s="5"/>
      <c r="OJZ66" s="5"/>
      <c r="OKA66" s="5"/>
      <c r="OKB66" s="5"/>
      <c r="OKC66" s="5"/>
      <c r="OKD66" s="5"/>
      <c r="OKE66" s="5"/>
      <c r="OKF66" s="5"/>
      <c r="OKG66" s="5"/>
      <c r="OKH66" s="5"/>
      <c r="OKI66" s="5"/>
      <c r="OKJ66" s="5"/>
      <c r="OKK66" s="5"/>
      <c r="OKL66" s="5"/>
      <c r="OKM66" s="5"/>
      <c r="OKN66" s="5"/>
      <c r="OKO66" s="5"/>
      <c r="OKP66" s="5"/>
      <c r="OKQ66" s="5"/>
      <c r="OKR66" s="5"/>
      <c r="OKS66" s="5"/>
      <c r="OKT66" s="5"/>
      <c r="OKU66" s="5"/>
      <c r="OKV66" s="5"/>
      <c r="OKW66" s="5"/>
      <c r="OKX66" s="5"/>
      <c r="OKY66" s="5"/>
      <c r="OKZ66" s="5"/>
      <c r="OLA66" s="5"/>
      <c r="OLB66" s="5"/>
      <c r="OLC66" s="5"/>
      <c r="OLD66" s="5"/>
      <c r="OLE66" s="5"/>
      <c r="OLF66" s="5"/>
      <c r="OLG66" s="5"/>
      <c r="OLH66" s="5"/>
      <c r="OLI66" s="5"/>
      <c r="OLJ66" s="5"/>
      <c r="OLK66" s="5"/>
      <c r="OLL66" s="5"/>
      <c r="OLM66" s="5"/>
      <c r="OLN66" s="5"/>
      <c r="OLO66" s="5"/>
      <c r="OLP66" s="5"/>
      <c r="OLQ66" s="5"/>
      <c r="OLR66" s="5"/>
      <c r="OLS66" s="5"/>
      <c r="OLT66" s="5"/>
      <c r="OLU66" s="5"/>
      <c r="OLV66" s="5"/>
      <c r="OLW66" s="5"/>
      <c r="OLX66" s="5"/>
      <c r="OLY66" s="5"/>
      <c r="OLZ66" s="5"/>
      <c r="OMA66" s="5"/>
      <c r="OMB66" s="5"/>
      <c r="OMC66" s="5"/>
      <c r="OMD66" s="5"/>
      <c r="OME66" s="5"/>
      <c r="OMF66" s="5"/>
      <c r="OMG66" s="5"/>
      <c r="OMH66" s="5"/>
      <c r="OMI66" s="5"/>
      <c r="OMJ66" s="5"/>
      <c r="OMK66" s="5"/>
      <c r="OML66" s="5"/>
      <c r="OMM66" s="5"/>
      <c r="OMN66" s="5"/>
      <c r="OMO66" s="5"/>
      <c r="OMP66" s="5"/>
      <c r="OMQ66" s="5"/>
      <c r="OMR66" s="5"/>
      <c r="OMS66" s="5"/>
      <c r="OMT66" s="5"/>
      <c r="OMU66" s="5"/>
      <c r="OMV66" s="5"/>
      <c r="OMW66" s="5"/>
      <c r="OMX66" s="5"/>
      <c r="OMY66" s="5"/>
      <c r="OMZ66" s="5"/>
      <c r="ONA66" s="5"/>
      <c r="ONB66" s="5"/>
      <c r="ONC66" s="5"/>
      <c r="OND66" s="5"/>
      <c r="ONE66" s="5"/>
      <c r="ONF66" s="5"/>
      <c r="ONG66" s="5"/>
      <c r="ONH66" s="5"/>
      <c r="ONI66" s="5"/>
      <c r="ONJ66" s="5"/>
      <c r="ONK66" s="5"/>
      <c r="ONL66" s="5"/>
      <c r="ONM66" s="5"/>
      <c r="ONN66" s="5"/>
      <c r="ONO66" s="5"/>
      <c r="ONP66" s="5"/>
      <c r="ONQ66" s="5"/>
      <c r="ONR66" s="5"/>
      <c r="ONS66" s="5"/>
      <c r="ONT66" s="5"/>
      <c r="ONU66" s="5"/>
      <c r="ONV66" s="5"/>
      <c r="ONW66" s="5"/>
      <c r="ONX66" s="5"/>
      <c r="ONY66" s="5"/>
      <c r="ONZ66" s="5"/>
      <c r="OOA66" s="5"/>
      <c r="OOB66" s="5"/>
      <c r="OOC66" s="5"/>
      <c r="OOD66" s="5"/>
      <c r="OOE66" s="5"/>
      <c r="OOF66" s="5"/>
      <c r="OOG66" s="5"/>
      <c r="OOH66" s="5"/>
      <c r="OOI66" s="5"/>
      <c r="OOJ66" s="5"/>
      <c r="OOK66" s="5"/>
      <c r="OOL66" s="5"/>
      <c r="OOM66" s="5"/>
      <c r="OON66" s="5"/>
      <c r="OOO66" s="5"/>
      <c r="OOP66" s="5"/>
      <c r="OOQ66" s="5"/>
      <c r="OOR66" s="5"/>
      <c r="OOS66" s="5"/>
      <c r="OOT66" s="5"/>
      <c r="OOU66" s="5"/>
      <c r="OOV66" s="5"/>
      <c r="OOW66" s="5"/>
      <c r="OOX66" s="5"/>
      <c r="OOY66" s="5"/>
      <c r="OOZ66" s="5"/>
      <c r="OPA66" s="5"/>
      <c r="OPB66" s="5"/>
      <c r="OPC66" s="5"/>
      <c r="OPD66" s="5"/>
      <c r="OPE66" s="5"/>
      <c r="OPF66" s="5"/>
      <c r="OPG66" s="5"/>
      <c r="OPH66" s="5"/>
      <c r="OPI66" s="5"/>
      <c r="OPJ66" s="5"/>
      <c r="OPK66" s="5"/>
      <c r="OPL66" s="5"/>
      <c r="OPM66" s="5"/>
      <c r="OPN66" s="5"/>
      <c r="OPO66" s="5"/>
      <c r="OPP66" s="5"/>
      <c r="OPQ66" s="5"/>
      <c r="OPR66" s="5"/>
      <c r="OPS66" s="5"/>
      <c r="OPT66" s="5"/>
      <c r="OPU66" s="5"/>
      <c r="OPV66" s="5"/>
      <c r="OPW66" s="5"/>
      <c r="OPX66" s="5"/>
      <c r="OPY66" s="5"/>
      <c r="OPZ66" s="5"/>
      <c r="OQA66" s="5"/>
      <c r="OQB66" s="5"/>
      <c r="OQC66" s="5"/>
      <c r="OQD66" s="5"/>
      <c r="OQE66" s="5"/>
      <c r="OQF66" s="5"/>
      <c r="OQG66" s="5"/>
      <c r="OQH66" s="5"/>
      <c r="OQI66" s="5"/>
      <c r="OQJ66" s="5"/>
      <c r="OQK66" s="5"/>
      <c r="OQL66" s="5"/>
      <c r="OQM66" s="5"/>
      <c r="OQN66" s="5"/>
      <c r="OQO66" s="5"/>
      <c r="OQP66" s="5"/>
      <c r="OQQ66" s="5"/>
      <c r="OQR66" s="5"/>
      <c r="OQS66" s="5"/>
      <c r="OQT66" s="5"/>
      <c r="OQU66" s="5"/>
      <c r="OQV66" s="5"/>
      <c r="OQW66" s="5"/>
      <c r="OQX66" s="5"/>
      <c r="OQY66" s="5"/>
      <c r="OQZ66" s="5"/>
      <c r="ORA66" s="5"/>
      <c r="ORB66" s="5"/>
      <c r="ORC66" s="5"/>
      <c r="ORD66" s="5"/>
      <c r="ORE66" s="5"/>
      <c r="ORF66" s="5"/>
      <c r="ORG66" s="5"/>
      <c r="ORH66" s="5"/>
      <c r="ORI66" s="5"/>
      <c r="ORJ66" s="5"/>
      <c r="ORK66" s="5"/>
      <c r="ORL66" s="5"/>
      <c r="ORM66" s="5"/>
      <c r="ORN66" s="5"/>
      <c r="ORO66" s="5"/>
      <c r="ORP66" s="5"/>
      <c r="ORQ66" s="5"/>
      <c r="ORR66" s="5"/>
      <c r="ORS66" s="5"/>
      <c r="ORT66" s="5"/>
      <c r="ORU66" s="5"/>
      <c r="ORV66" s="5"/>
      <c r="ORW66" s="5"/>
      <c r="ORX66" s="5"/>
      <c r="ORY66" s="5"/>
      <c r="ORZ66" s="5"/>
      <c r="OSA66" s="5"/>
      <c r="OSB66" s="5"/>
      <c r="OSC66" s="5"/>
      <c r="OSD66" s="5"/>
      <c r="OSE66" s="5"/>
      <c r="OSF66" s="5"/>
      <c r="OSG66" s="5"/>
      <c r="OSH66" s="5"/>
      <c r="OSI66" s="5"/>
      <c r="OSJ66" s="5"/>
      <c r="OSK66" s="5"/>
      <c r="OSL66" s="5"/>
      <c r="OSM66" s="5"/>
      <c r="OSN66" s="5"/>
      <c r="OSO66" s="5"/>
      <c r="OSP66" s="5"/>
      <c r="OSQ66" s="5"/>
      <c r="OSR66" s="5"/>
      <c r="OSS66" s="5"/>
      <c r="OST66" s="5"/>
      <c r="OSU66" s="5"/>
      <c r="OSV66" s="5"/>
      <c r="OSW66" s="5"/>
      <c r="OSX66" s="5"/>
      <c r="OSY66" s="5"/>
      <c r="OSZ66" s="5"/>
      <c r="OTA66" s="5"/>
      <c r="OTB66" s="5"/>
      <c r="OTC66" s="5"/>
      <c r="OTD66" s="5"/>
      <c r="OTE66" s="5"/>
      <c r="OTF66" s="5"/>
      <c r="OTG66" s="5"/>
      <c r="OTH66" s="5"/>
      <c r="OTI66" s="5"/>
      <c r="OTJ66" s="5"/>
      <c r="OTK66" s="5"/>
      <c r="OTL66" s="5"/>
      <c r="OTM66" s="5"/>
      <c r="OTN66" s="5"/>
      <c r="OTO66" s="5"/>
      <c r="OTP66" s="5"/>
      <c r="OTQ66" s="5"/>
      <c r="OTR66" s="5"/>
      <c r="OTS66" s="5"/>
      <c r="OTT66" s="5"/>
      <c r="OTU66" s="5"/>
      <c r="OTV66" s="5"/>
      <c r="OTW66" s="5"/>
      <c r="OTX66" s="5"/>
      <c r="OTY66" s="5"/>
      <c r="OTZ66" s="5"/>
      <c r="OUA66" s="5"/>
      <c r="OUB66" s="5"/>
      <c r="OUC66" s="5"/>
      <c r="OUD66" s="5"/>
      <c r="OUE66" s="5"/>
      <c r="OUF66" s="5"/>
      <c r="OUG66" s="5"/>
      <c r="OUH66" s="5"/>
      <c r="OUI66" s="5"/>
      <c r="OUJ66" s="5"/>
      <c r="OUK66" s="5"/>
      <c r="OUL66" s="5"/>
      <c r="OUM66" s="5"/>
      <c r="OUN66" s="5"/>
      <c r="OUO66" s="5"/>
      <c r="OUP66" s="5"/>
      <c r="OUQ66" s="5"/>
      <c r="OUR66" s="5"/>
      <c r="OUS66" s="5"/>
      <c r="OUT66" s="5"/>
      <c r="OUU66" s="5"/>
      <c r="OUV66" s="5"/>
      <c r="OUW66" s="5"/>
      <c r="OUX66" s="5"/>
      <c r="OUY66" s="5"/>
      <c r="OUZ66" s="5"/>
      <c r="OVA66" s="5"/>
      <c r="OVB66" s="5"/>
      <c r="OVC66" s="5"/>
      <c r="OVD66" s="5"/>
      <c r="OVE66" s="5"/>
      <c r="OVF66" s="5"/>
      <c r="OVG66" s="5"/>
      <c r="OVH66" s="5"/>
      <c r="OVI66" s="5"/>
      <c r="OVJ66" s="5"/>
      <c r="OVK66" s="5"/>
      <c r="OVL66" s="5"/>
      <c r="OVM66" s="5"/>
      <c r="OVN66" s="5"/>
      <c r="OVO66" s="5"/>
      <c r="OVP66" s="5"/>
      <c r="OVQ66" s="5"/>
      <c r="OVR66" s="5"/>
      <c r="OVS66" s="5"/>
      <c r="OVT66" s="5"/>
      <c r="OVU66" s="5"/>
      <c r="OVV66" s="5"/>
      <c r="OVW66" s="5"/>
      <c r="OVX66" s="5"/>
      <c r="OVY66" s="5"/>
      <c r="OVZ66" s="5"/>
      <c r="OWA66" s="5"/>
      <c r="OWB66" s="5"/>
      <c r="OWC66" s="5"/>
      <c r="OWD66" s="5"/>
      <c r="OWE66" s="5"/>
      <c r="OWF66" s="5"/>
      <c r="OWG66" s="5"/>
      <c r="OWH66" s="5"/>
      <c r="OWI66" s="5"/>
      <c r="OWJ66" s="5"/>
      <c r="OWK66" s="5"/>
      <c r="OWL66" s="5"/>
      <c r="OWM66" s="5"/>
      <c r="OWN66" s="5"/>
      <c r="OWO66" s="5"/>
      <c r="OWP66" s="5"/>
      <c r="OWQ66" s="5"/>
      <c r="OWR66" s="5"/>
      <c r="OWS66" s="5"/>
      <c r="OWT66" s="5"/>
      <c r="OWU66" s="5"/>
      <c r="OWV66" s="5"/>
      <c r="OWW66" s="5"/>
      <c r="OWX66" s="5"/>
      <c r="OWY66" s="5"/>
      <c r="OWZ66" s="5"/>
      <c r="OXA66" s="5"/>
      <c r="OXB66" s="5"/>
      <c r="OXC66" s="5"/>
      <c r="OXD66" s="5"/>
      <c r="OXE66" s="5"/>
      <c r="OXF66" s="5"/>
      <c r="OXG66" s="5"/>
      <c r="OXH66" s="5"/>
      <c r="OXI66" s="5"/>
      <c r="OXJ66" s="5"/>
      <c r="OXK66" s="5"/>
      <c r="OXL66" s="5"/>
      <c r="OXM66" s="5"/>
      <c r="OXN66" s="5"/>
      <c r="OXO66" s="5"/>
      <c r="OXP66" s="5"/>
      <c r="OXQ66" s="5"/>
      <c r="OXR66" s="5"/>
      <c r="OXS66" s="5"/>
      <c r="OXT66" s="5"/>
      <c r="OXU66" s="5"/>
      <c r="OXV66" s="5"/>
      <c r="OXW66" s="5"/>
      <c r="OXX66" s="5"/>
      <c r="OXY66" s="5"/>
      <c r="OXZ66" s="5"/>
      <c r="OYA66" s="5"/>
      <c r="OYB66" s="5"/>
      <c r="OYC66" s="5"/>
      <c r="OYD66" s="5"/>
      <c r="OYE66" s="5"/>
      <c r="OYF66" s="5"/>
      <c r="OYG66" s="5"/>
      <c r="OYH66" s="5"/>
      <c r="OYI66" s="5"/>
      <c r="OYJ66" s="5"/>
      <c r="OYK66" s="5"/>
      <c r="OYL66" s="5"/>
      <c r="OYM66" s="5"/>
      <c r="OYN66" s="5"/>
      <c r="OYO66" s="5"/>
      <c r="OYP66" s="5"/>
      <c r="OYQ66" s="5"/>
      <c r="OYR66" s="5"/>
      <c r="OYS66" s="5"/>
      <c r="OYT66" s="5"/>
      <c r="OYU66" s="5"/>
      <c r="OYV66" s="5"/>
      <c r="OYW66" s="5"/>
      <c r="OYX66" s="5"/>
      <c r="OYY66" s="5"/>
      <c r="OYZ66" s="5"/>
      <c r="OZA66" s="5"/>
      <c r="OZB66" s="5"/>
      <c r="OZC66" s="5"/>
      <c r="OZD66" s="5"/>
      <c r="OZE66" s="5"/>
      <c r="OZF66" s="5"/>
      <c r="OZG66" s="5"/>
      <c r="OZH66" s="5"/>
      <c r="OZI66" s="5"/>
      <c r="OZJ66" s="5"/>
      <c r="OZK66" s="5"/>
      <c r="OZL66" s="5"/>
      <c r="OZM66" s="5"/>
      <c r="OZN66" s="5"/>
      <c r="OZO66" s="5"/>
      <c r="OZP66" s="5"/>
      <c r="OZQ66" s="5"/>
      <c r="OZR66" s="5"/>
      <c r="OZS66" s="5"/>
      <c r="OZT66" s="5"/>
      <c r="OZU66" s="5"/>
      <c r="OZV66" s="5"/>
      <c r="OZW66" s="5"/>
      <c r="OZX66" s="5"/>
      <c r="OZY66" s="5"/>
      <c r="OZZ66" s="5"/>
      <c r="PAA66" s="5"/>
      <c r="PAB66" s="5"/>
      <c r="PAC66" s="5"/>
      <c r="PAD66" s="5"/>
      <c r="PAE66" s="5"/>
      <c r="PAF66" s="5"/>
      <c r="PAG66" s="5"/>
      <c r="PAH66" s="5"/>
      <c r="PAI66" s="5"/>
      <c r="PAJ66" s="5"/>
      <c r="PAK66" s="5"/>
      <c r="PAL66" s="5"/>
      <c r="PAM66" s="5"/>
      <c r="PAN66" s="5"/>
      <c r="PAO66" s="5"/>
      <c r="PAP66" s="5"/>
      <c r="PAQ66" s="5"/>
      <c r="PAR66" s="5"/>
      <c r="PAS66" s="5"/>
      <c r="PAT66" s="5"/>
      <c r="PAU66" s="5"/>
      <c r="PAV66" s="5"/>
      <c r="PAW66" s="5"/>
      <c r="PAX66" s="5"/>
      <c r="PAY66" s="5"/>
      <c r="PAZ66" s="5"/>
      <c r="PBA66" s="5"/>
      <c r="PBB66" s="5"/>
      <c r="PBC66" s="5"/>
      <c r="PBD66" s="5"/>
      <c r="PBE66" s="5"/>
      <c r="PBF66" s="5"/>
      <c r="PBG66" s="5"/>
      <c r="PBH66" s="5"/>
      <c r="PBI66" s="5"/>
      <c r="PBJ66" s="5"/>
      <c r="PBK66" s="5"/>
      <c r="PBL66" s="5"/>
      <c r="PBM66" s="5"/>
      <c r="PBN66" s="5"/>
      <c r="PBO66" s="5"/>
      <c r="PBP66" s="5"/>
      <c r="PBQ66" s="5"/>
      <c r="PBR66" s="5"/>
      <c r="PBS66" s="5"/>
      <c r="PBT66" s="5"/>
      <c r="PBU66" s="5"/>
      <c r="PBV66" s="5"/>
      <c r="PBW66" s="5"/>
      <c r="PBX66" s="5"/>
      <c r="PBY66" s="5"/>
      <c r="PBZ66" s="5"/>
      <c r="PCA66" s="5"/>
      <c r="PCB66" s="5"/>
      <c r="PCC66" s="5"/>
      <c r="PCD66" s="5"/>
      <c r="PCE66" s="5"/>
      <c r="PCF66" s="5"/>
      <c r="PCG66" s="5"/>
      <c r="PCH66" s="5"/>
      <c r="PCI66" s="5"/>
      <c r="PCJ66" s="5"/>
      <c r="PCK66" s="5"/>
      <c r="PCL66" s="5"/>
      <c r="PCM66" s="5"/>
      <c r="PCN66" s="5"/>
      <c r="PCO66" s="5"/>
      <c r="PCP66" s="5"/>
      <c r="PCQ66" s="5"/>
      <c r="PCR66" s="5"/>
      <c r="PCS66" s="5"/>
      <c r="PCT66" s="5"/>
      <c r="PCU66" s="5"/>
      <c r="PCV66" s="5"/>
      <c r="PCW66" s="5"/>
      <c r="PCX66" s="5"/>
      <c r="PCY66" s="5"/>
      <c r="PCZ66" s="5"/>
      <c r="PDA66" s="5"/>
      <c r="PDB66" s="5"/>
      <c r="PDC66" s="5"/>
      <c r="PDD66" s="5"/>
      <c r="PDE66" s="5"/>
      <c r="PDF66" s="5"/>
      <c r="PDG66" s="5"/>
      <c r="PDH66" s="5"/>
      <c r="PDI66" s="5"/>
      <c r="PDJ66" s="5"/>
      <c r="PDK66" s="5"/>
      <c r="PDL66" s="5"/>
      <c r="PDM66" s="5"/>
      <c r="PDN66" s="5"/>
      <c r="PDO66" s="5"/>
      <c r="PDP66" s="5"/>
      <c r="PDQ66" s="5"/>
      <c r="PDR66" s="5"/>
      <c r="PDS66" s="5"/>
      <c r="PDT66" s="5"/>
      <c r="PDU66" s="5"/>
      <c r="PDV66" s="5"/>
      <c r="PDW66" s="5"/>
      <c r="PDX66" s="5"/>
      <c r="PDY66" s="5"/>
      <c r="PDZ66" s="5"/>
      <c r="PEA66" s="5"/>
      <c r="PEB66" s="5"/>
      <c r="PEC66" s="5"/>
      <c r="PED66" s="5"/>
      <c r="PEE66" s="5"/>
      <c r="PEF66" s="5"/>
      <c r="PEG66" s="5"/>
      <c r="PEH66" s="5"/>
      <c r="PEI66" s="5"/>
      <c r="PEJ66" s="5"/>
      <c r="PEK66" s="5"/>
      <c r="PEL66" s="5"/>
      <c r="PEM66" s="5"/>
      <c r="PEN66" s="5"/>
      <c r="PEO66" s="5"/>
      <c r="PEP66" s="5"/>
      <c r="PEQ66" s="5"/>
      <c r="PER66" s="5"/>
      <c r="PES66" s="5"/>
      <c r="PET66" s="5"/>
      <c r="PEU66" s="5"/>
      <c r="PEV66" s="5"/>
      <c r="PEW66" s="5"/>
      <c r="PEX66" s="5"/>
      <c r="PEY66" s="5"/>
      <c r="PEZ66" s="5"/>
      <c r="PFA66" s="5"/>
      <c r="PFB66" s="5"/>
      <c r="PFC66" s="5"/>
      <c r="PFD66" s="5"/>
      <c r="PFE66" s="5"/>
      <c r="PFF66" s="5"/>
      <c r="PFG66" s="5"/>
      <c r="PFH66" s="5"/>
      <c r="PFI66" s="5"/>
      <c r="PFJ66" s="5"/>
      <c r="PFK66" s="5"/>
      <c r="PFL66" s="5"/>
      <c r="PFM66" s="5"/>
      <c r="PFN66" s="5"/>
      <c r="PFO66" s="5"/>
      <c r="PFP66" s="5"/>
      <c r="PFQ66" s="5"/>
      <c r="PFR66" s="5"/>
      <c r="PFS66" s="5"/>
      <c r="PFT66" s="5"/>
      <c r="PFU66" s="5"/>
      <c r="PFV66" s="5"/>
      <c r="PFW66" s="5"/>
      <c r="PFX66" s="5"/>
      <c r="PFY66" s="5"/>
      <c r="PFZ66" s="5"/>
      <c r="PGA66" s="5"/>
      <c r="PGB66" s="5"/>
      <c r="PGC66" s="5"/>
      <c r="PGD66" s="5"/>
      <c r="PGE66" s="5"/>
      <c r="PGF66" s="5"/>
      <c r="PGG66" s="5"/>
      <c r="PGH66" s="5"/>
      <c r="PGI66" s="5"/>
      <c r="PGJ66" s="5"/>
      <c r="PGK66" s="5"/>
      <c r="PGL66" s="5"/>
      <c r="PGM66" s="5"/>
      <c r="PGN66" s="5"/>
      <c r="PGO66" s="5"/>
      <c r="PGP66" s="5"/>
      <c r="PGQ66" s="5"/>
      <c r="PGR66" s="5"/>
      <c r="PGS66" s="5"/>
      <c r="PGT66" s="5"/>
      <c r="PGU66" s="5"/>
      <c r="PGV66" s="5"/>
      <c r="PGW66" s="5"/>
      <c r="PGX66" s="5"/>
      <c r="PGY66" s="5"/>
      <c r="PGZ66" s="5"/>
      <c r="PHA66" s="5"/>
      <c r="PHB66" s="5"/>
      <c r="PHC66" s="5"/>
      <c r="PHD66" s="5"/>
      <c r="PHE66" s="5"/>
      <c r="PHF66" s="5"/>
      <c r="PHG66" s="5"/>
      <c r="PHH66" s="5"/>
      <c r="PHI66" s="5"/>
      <c r="PHJ66" s="5"/>
      <c r="PHK66" s="5"/>
      <c r="PHL66" s="5"/>
      <c r="PHM66" s="5"/>
      <c r="PHN66" s="5"/>
      <c r="PHO66" s="5"/>
      <c r="PHP66" s="5"/>
      <c r="PHQ66" s="5"/>
      <c r="PHR66" s="5"/>
      <c r="PHS66" s="5"/>
      <c r="PHT66" s="5"/>
      <c r="PHU66" s="5"/>
      <c r="PHV66" s="5"/>
      <c r="PHW66" s="5"/>
      <c r="PHX66" s="5"/>
      <c r="PHY66" s="5"/>
      <c r="PHZ66" s="5"/>
      <c r="PIA66" s="5"/>
      <c r="PIB66" s="5"/>
      <c r="PIC66" s="5"/>
      <c r="PID66" s="5"/>
      <c r="PIE66" s="5"/>
      <c r="PIF66" s="5"/>
      <c r="PIG66" s="5"/>
      <c r="PIH66" s="5"/>
      <c r="PII66" s="5"/>
      <c r="PIJ66" s="5"/>
      <c r="PIK66" s="5"/>
      <c r="PIL66" s="5"/>
      <c r="PIM66" s="5"/>
      <c r="PIN66" s="5"/>
      <c r="PIO66" s="5"/>
      <c r="PIP66" s="5"/>
      <c r="PIQ66" s="5"/>
      <c r="PIR66" s="5"/>
      <c r="PIS66" s="5"/>
      <c r="PIT66" s="5"/>
      <c r="PIU66" s="5"/>
      <c r="PIV66" s="5"/>
      <c r="PIW66" s="5"/>
      <c r="PIX66" s="5"/>
      <c r="PIY66" s="5"/>
      <c r="PIZ66" s="5"/>
      <c r="PJA66" s="5"/>
      <c r="PJB66" s="5"/>
      <c r="PJC66" s="5"/>
      <c r="PJD66" s="5"/>
      <c r="PJE66" s="5"/>
      <c r="PJF66" s="5"/>
      <c r="PJG66" s="5"/>
      <c r="PJH66" s="5"/>
      <c r="PJI66" s="5"/>
      <c r="PJJ66" s="5"/>
      <c r="PJK66" s="5"/>
      <c r="PJL66" s="5"/>
      <c r="PJM66" s="5"/>
      <c r="PJN66" s="5"/>
      <c r="PJO66" s="5"/>
      <c r="PJP66" s="5"/>
      <c r="PJQ66" s="5"/>
      <c r="PJR66" s="5"/>
      <c r="PJS66" s="5"/>
      <c r="PJT66" s="5"/>
      <c r="PJU66" s="5"/>
      <c r="PJV66" s="5"/>
      <c r="PJW66" s="5"/>
      <c r="PJX66" s="5"/>
      <c r="PJY66" s="5"/>
      <c r="PJZ66" s="5"/>
      <c r="PKA66" s="5"/>
      <c r="PKB66" s="5"/>
      <c r="PKC66" s="5"/>
      <c r="PKD66" s="5"/>
      <c r="PKE66" s="5"/>
      <c r="PKF66" s="5"/>
      <c r="PKG66" s="5"/>
      <c r="PKH66" s="5"/>
      <c r="PKI66" s="5"/>
      <c r="PKJ66" s="5"/>
      <c r="PKK66" s="5"/>
      <c r="PKL66" s="5"/>
      <c r="PKM66" s="5"/>
      <c r="PKN66" s="5"/>
      <c r="PKO66" s="5"/>
      <c r="PKP66" s="5"/>
      <c r="PKQ66" s="5"/>
      <c r="PKR66" s="5"/>
      <c r="PKS66" s="5"/>
      <c r="PKT66" s="5"/>
      <c r="PKU66" s="5"/>
      <c r="PKV66" s="5"/>
      <c r="PKW66" s="5"/>
      <c r="PKX66" s="5"/>
      <c r="PKY66" s="5"/>
      <c r="PKZ66" s="5"/>
      <c r="PLA66" s="5"/>
      <c r="PLB66" s="5"/>
      <c r="PLC66" s="5"/>
      <c r="PLD66" s="5"/>
      <c r="PLE66" s="5"/>
      <c r="PLF66" s="5"/>
      <c r="PLG66" s="5"/>
      <c r="PLH66" s="5"/>
      <c r="PLI66" s="5"/>
      <c r="PLJ66" s="5"/>
      <c r="PLK66" s="5"/>
      <c r="PLL66" s="5"/>
      <c r="PLM66" s="5"/>
      <c r="PLN66" s="5"/>
      <c r="PLO66" s="5"/>
      <c r="PLP66" s="5"/>
      <c r="PLQ66" s="5"/>
      <c r="PLR66" s="5"/>
      <c r="PLS66" s="5"/>
      <c r="PLT66" s="5"/>
      <c r="PLU66" s="5"/>
      <c r="PLV66" s="5"/>
      <c r="PLW66" s="5"/>
      <c r="PLX66" s="5"/>
      <c r="PLY66" s="5"/>
      <c r="PLZ66" s="5"/>
      <c r="PMA66" s="5"/>
      <c r="PMB66" s="5"/>
      <c r="PMC66" s="5"/>
      <c r="PMD66" s="5"/>
      <c r="PME66" s="5"/>
      <c r="PMF66" s="5"/>
      <c r="PMG66" s="5"/>
      <c r="PMH66" s="5"/>
      <c r="PMI66" s="5"/>
      <c r="PMJ66" s="5"/>
      <c r="PMK66" s="5"/>
      <c r="PML66" s="5"/>
      <c r="PMM66" s="5"/>
      <c r="PMN66" s="5"/>
      <c r="PMO66" s="5"/>
      <c r="PMP66" s="5"/>
      <c r="PMQ66" s="5"/>
      <c r="PMR66" s="5"/>
      <c r="PMS66" s="5"/>
      <c r="PMT66" s="5"/>
      <c r="PMU66" s="5"/>
      <c r="PMV66" s="5"/>
      <c r="PMW66" s="5"/>
      <c r="PMX66" s="5"/>
      <c r="PMY66" s="5"/>
      <c r="PMZ66" s="5"/>
      <c r="PNA66" s="5"/>
      <c r="PNB66" s="5"/>
      <c r="PNC66" s="5"/>
      <c r="PND66" s="5"/>
      <c r="PNE66" s="5"/>
      <c r="PNF66" s="5"/>
      <c r="PNG66" s="5"/>
      <c r="PNH66" s="5"/>
      <c r="PNI66" s="5"/>
      <c r="PNJ66" s="5"/>
      <c r="PNK66" s="5"/>
      <c r="PNL66" s="5"/>
      <c r="PNM66" s="5"/>
      <c r="PNN66" s="5"/>
      <c r="PNO66" s="5"/>
      <c r="PNP66" s="5"/>
      <c r="PNQ66" s="5"/>
      <c r="PNR66" s="5"/>
      <c r="PNS66" s="5"/>
      <c r="PNT66" s="5"/>
      <c r="PNU66" s="5"/>
      <c r="PNV66" s="5"/>
      <c r="PNW66" s="5"/>
      <c r="PNX66" s="5"/>
      <c r="PNY66" s="5"/>
      <c r="PNZ66" s="5"/>
      <c r="POA66" s="5"/>
      <c r="POB66" s="5"/>
      <c r="POC66" s="5"/>
      <c r="POD66" s="5"/>
      <c r="POE66" s="5"/>
      <c r="POF66" s="5"/>
      <c r="POG66" s="5"/>
      <c r="POH66" s="5"/>
      <c r="POI66" s="5"/>
      <c r="POJ66" s="5"/>
      <c r="POK66" s="5"/>
      <c r="POL66" s="5"/>
      <c r="POM66" s="5"/>
      <c r="PON66" s="5"/>
      <c r="POO66" s="5"/>
      <c r="POP66" s="5"/>
      <c r="POQ66" s="5"/>
      <c r="POR66" s="5"/>
      <c r="POS66" s="5"/>
      <c r="POT66" s="5"/>
      <c r="POU66" s="5"/>
      <c r="POV66" s="5"/>
      <c r="POW66" s="5"/>
      <c r="POX66" s="5"/>
      <c r="POY66" s="5"/>
      <c r="POZ66" s="5"/>
      <c r="PPA66" s="5"/>
      <c r="PPB66" s="5"/>
      <c r="PPC66" s="5"/>
      <c r="PPD66" s="5"/>
      <c r="PPE66" s="5"/>
      <c r="PPF66" s="5"/>
      <c r="PPG66" s="5"/>
      <c r="PPH66" s="5"/>
      <c r="PPI66" s="5"/>
      <c r="PPJ66" s="5"/>
      <c r="PPK66" s="5"/>
      <c r="PPL66" s="5"/>
      <c r="PPM66" s="5"/>
      <c r="PPN66" s="5"/>
      <c r="PPO66" s="5"/>
      <c r="PPP66" s="5"/>
      <c r="PPQ66" s="5"/>
      <c r="PPR66" s="5"/>
      <c r="PPS66" s="5"/>
      <c r="PPT66" s="5"/>
      <c r="PPU66" s="5"/>
      <c r="PPV66" s="5"/>
      <c r="PPW66" s="5"/>
      <c r="PPX66" s="5"/>
      <c r="PPY66" s="5"/>
      <c r="PPZ66" s="5"/>
      <c r="PQA66" s="5"/>
      <c r="PQB66" s="5"/>
      <c r="PQC66" s="5"/>
      <c r="PQD66" s="5"/>
      <c r="PQE66" s="5"/>
      <c r="PQF66" s="5"/>
      <c r="PQG66" s="5"/>
      <c r="PQH66" s="5"/>
      <c r="PQI66" s="5"/>
      <c r="PQJ66" s="5"/>
      <c r="PQK66" s="5"/>
      <c r="PQL66" s="5"/>
      <c r="PQM66" s="5"/>
      <c r="PQN66" s="5"/>
      <c r="PQO66" s="5"/>
      <c r="PQP66" s="5"/>
      <c r="PQQ66" s="5"/>
      <c r="PQR66" s="5"/>
      <c r="PQS66" s="5"/>
      <c r="PQT66" s="5"/>
      <c r="PQU66" s="5"/>
      <c r="PQV66" s="5"/>
      <c r="PQW66" s="5"/>
      <c r="PQX66" s="5"/>
      <c r="PQY66" s="5"/>
      <c r="PQZ66" s="5"/>
      <c r="PRA66" s="5"/>
      <c r="PRB66" s="5"/>
      <c r="PRC66" s="5"/>
      <c r="PRD66" s="5"/>
      <c r="PRE66" s="5"/>
      <c r="PRF66" s="5"/>
      <c r="PRG66" s="5"/>
      <c r="PRH66" s="5"/>
      <c r="PRI66" s="5"/>
      <c r="PRJ66" s="5"/>
      <c r="PRK66" s="5"/>
      <c r="PRL66" s="5"/>
      <c r="PRM66" s="5"/>
      <c r="PRN66" s="5"/>
      <c r="PRO66" s="5"/>
      <c r="PRP66" s="5"/>
      <c r="PRQ66" s="5"/>
      <c r="PRR66" s="5"/>
      <c r="PRS66" s="5"/>
      <c r="PRT66" s="5"/>
      <c r="PRU66" s="5"/>
      <c r="PRV66" s="5"/>
      <c r="PRW66" s="5"/>
      <c r="PRX66" s="5"/>
      <c r="PRY66" s="5"/>
      <c r="PRZ66" s="5"/>
      <c r="PSA66" s="5"/>
      <c r="PSB66" s="5"/>
      <c r="PSC66" s="5"/>
      <c r="PSD66" s="5"/>
      <c r="PSE66" s="5"/>
      <c r="PSF66" s="5"/>
      <c r="PSG66" s="5"/>
      <c r="PSH66" s="5"/>
      <c r="PSI66" s="5"/>
      <c r="PSJ66" s="5"/>
      <c r="PSK66" s="5"/>
      <c r="PSL66" s="5"/>
      <c r="PSM66" s="5"/>
      <c r="PSN66" s="5"/>
      <c r="PSO66" s="5"/>
      <c r="PSP66" s="5"/>
      <c r="PSQ66" s="5"/>
      <c r="PSR66" s="5"/>
      <c r="PSS66" s="5"/>
      <c r="PST66" s="5"/>
      <c r="PSU66" s="5"/>
      <c r="PSV66" s="5"/>
      <c r="PSW66" s="5"/>
      <c r="PSX66" s="5"/>
      <c r="PSY66" s="5"/>
      <c r="PSZ66" s="5"/>
      <c r="PTA66" s="5"/>
      <c r="PTB66" s="5"/>
      <c r="PTC66" s="5"/>
      <c r="PTD66" s="5"/>
      <c r="PTE66" s="5"/>
      <c r="PTF66" s="5"/>
      <c r="PTG66" s="5"/>
      <c r="PTH66" s="5"/>
      <c r="PTI66" s="5"/>
      <c r="PTJ66" s="5"/>
      <c r="PTK66" s="5"/>
      <c r="PTL66" s="5"/>
      <c r="PTM66" s="5"/>
      <c r="PTN66" s="5"/>
      <c r="PTO66" s="5"/>
      <c r="PTP66" s="5"/>
      <c r="PTQ66" s="5"/>
      <c r="PTR66" s="5"/>
      <c r="PTS66" s="5"/>
      <c r="PTT66" s="5"/>
      <c r="PTU66" s="5"/>
      <c r="PTV66" s="5"/>
      <c r="PTW66" s="5"/>
      <c r="PTX66" s="5"/>
      <c r="PTY66" s="5"/>
      <c r="PTZ66" s="5"/>
      <c r="PUA66" s="5"/>
      <c r="PUB66" s="5"/>
      <c r="PUC66" s="5"/>
      <c r="PUD66" s="5"/>
      <c r="PUE66" s="5"/>
      <c r="PUF66" s="5"/>
      <c r="PUG66" s="5"/>
      <c r="PUH66" s="5"/>
      <c r="PUI66" s="5"/>
      <c r="PUJ66" s="5"/>
      <c r="PUK66" s="5"/>
      <c r="PUL66" s="5"/>
      <c r="PUM66" s="5"/>
      <c r="PUN66" s="5"/>
      <c r="PUO66" s="5"/>
      <c r="PUP66" s="5"/>
      <c r="PUQ66" s="5"/>
      <c r="PUR66" s="5"/>
      <c r="PUS66" s="5"/>
      <c r="PUT66" s="5"/>
      <c r="PUU66" s="5"/>
      <c r="PUV66" s="5"/>
      <c r="PUW66" s="5"/>
      <c r="PUX66" s="5"/>
      <c r="PUY66" s="5"/>
      <c r="PUZ66" s="5"/>
      <c r="PVA66" s="5"/>
      <c r="PVB66" s="5"/>
      <c r="PVC66" s="5"/>
      <c r="PVD66" s="5"/>
      <c r="PVE66" s="5"/>
      <c r="PVF66" s="5"/>
      <c r="PVG66" s="5"/>
      <c r="PVH66" s="5"/>
      <c r="PVI66" s="5"/>
      <c r="PVJ66" s="5"/>
      <c r="PVK66" s="5"/>
      <c r="PVL66" s="5"/>
      <c r="PVM66" s="5"/>
      <c r="PVN66" s="5"/>
      <c r="PVO66" s="5"/>
      <c r="PVP66" s="5"/>
      <c r="PVQ66" s="5"/>
      <c r="PVR66" s="5"/>
      <c r="PVS66" s="5"/>
      <c r="PVT66" s="5"/>
      <c r="PVU66" s="5"/>
      <c r="PVV66" s="5"/>
      <c r="PVW66" s="5"/>
      <c r="PVX66" s="5"/>
      <c r="PVY66" s="5"/>
      <c r="PVZ66" s="5"/>
      <c r="PWA66" s="5"/>
      <c r="PWB66" s="5"/>
      <c r="PWC66" s="5"/>
      <c r="PWD66" s="5"/>
      <c r="PWE66" s="5"/>
      <c r="PWF66" s="5"/>
      <c r="PWG66" s="5"/>
      <c r="PWH66" s="5"/>
      <c r="PWI66" s="5"/>
      <c r="PWJ66" s="5"/>
      <c r="PWK66" s="5"/>
      <c r="PWL66" s="5"/>
      <c r="PWM66" s="5"/>
      <c r="PWN66" s="5"/>
      <c r="PWO66" s="5"/>
      <c r="PWP66" s="5"/>
      <c r="PWQ66" s="5"/>
      <c r="PWR66" s="5"/>
      <c r="PWS66" s="5"/>
      <c r="PWT66" s="5"/>
      <c r="PWU66" s="5"/>
      <c r="PWV66" s="5"/>
      <c r="PWW66" s="5"/>
      <c r="PWX66" s="5"/>
      <c r="PWY66" s="5"/>
      <c r="PWZ66" s="5"/>
      <c r="PXA66" s="5"/>
      <c r="PXB66" s="5"/>
      <c r="PXC66" s="5"/>
      <c r="PXD66" s="5"/>
      <c r="PXE66" s="5"/>
      <c r="PXF66" s="5"/>
      <c r="PXG66" s="5"/>
      <c r="PXH66" s="5"/>
      <c r="PXI66" s="5"/>
      <c r="PXJ66" s="5"/>
      <c r="PXK66" s="5"/>
      <c r="PXL66" s="5"/>
      <c r="PXM66" s="5"/>
      <c r="PXN66" s="5"/>
      <c r="PXO66" s="5"/>
      <c r="PXP66" s="5"/>
      <c r="PXQ66" s="5"/>
      <c r="PXR66" s="5"/>
      <c r="PXS66" s="5"/>
      <c r="PXT66" s="5"/>
      <c r="PXU66" s="5"/>
      <c r="PXV66" s="5"/>
      <c r="PXW66" s="5"/>
      <c r="PXX66" s="5"/>
      <c r="PXY66" s="5"/>
      <c r="PXZ66" s="5"/>
      <c r="PYA66" s="5"/>
      <c r="PYB66" s="5"/>
      <c r="PYC66" s="5"/>
      <c r="PYD66" s="5"/>
      <c r="PYE66" s="5"/>
      <c r="PYF66" s="5"/>
      <c r="PYG66" s="5"/>
      <c r="PYH66" s="5"/>
      <c r="PYI66" s="5"/>
      <c r="PYJ66" s="5"/>
      <c r="PYK66" s="5"/>
      <c r="PYL66" s="5"/>
      <c r="PYM66" s="5"/>
      <c r="PYN66" s="5"/>
      <c r="PYO66" s="5"/>
      <c r="PYP66" s="5"/>
      <c r="PYQ66" s="5"/>
      <c r="PYR66" s="5"/>
      <c r="PYS66" s="5"/>
      <c r="PYT66" s="5"/>
      <c r="PYU66" s="5"/>
      <c r="PYV66" s="5"/>
      <c r="PYW66" s="5"/>
      <c r="PYX66" s="5"/>
      <c r="PYY66" s="5"/>
      <c r="PYZ66" s="5"/>
      <c r="PZA66" s="5"/>
      <c r="PZB66" s="5"/>
      <c r="PZC66" s="5"/>
      <c r="PZD66" s="5"/>
      <c r="PZE66" s="5"/>
      <c r="PZF66" s="5"/>
      <c r="PZG66" s="5"/>
      <c r="PZH66" s="5"/>
      <c r="PZI66" s="5"/>
      <c r="PZJ66" s="5"/>
      <c r="PZK66" s="5"/>
      <c r="PZL66" s="5"/>
      <c r="PZM66" s="5"/>
      <c r="PZN66" s="5"/>
      <c r="PZO66" s="5"/>
      <c r="PZP66" s="5"/>
      <c r="PZQ66" s="5"/>
      <c r="PZR66" s="5"/>
      <c r="PZS66" s="5"/>
      <c r="PZT66" s="5"/>
      <c r="PZU66" s="5"/>
      <c r="PZV66" s="5"/>
      <c r="PZW66" s="5"/>
      <c r="PZX66" s="5"/>
      <c r="PZY66" s="5"/>
      <c r="PZZ66" s="5"/>
      <c r="QAA66" s="5"/>
      <c r="QAB66" s="5"/>
      <c r="QAC66" s="5"/>
      <c r="QAD66" s="5"/>
      <c r="QAE66" s="5"/>
      <c r="QAF66" s="5"/>
      <c r="QAG66" s="5"/>
      <c r="QAH66" s="5"/>
      <c r="QAI66" s="5"/>
      <c r="QAJ66" s="5"/>
      <c r="QAK66" s="5"/>
      <c r="QAL66" s="5"/>
      <c r="QAM66" s="5"/>
      <c r="QAN66" s="5"/>
      <c r="QAO66" s="5"/>
      <c r="QAP66" s="5"/>
      <c r="QAQ66" s="5"/>
      <c r="QAR66" s="5"/>
      <c r="QAS66" s="5"/>
      <c r="QAT66" s="5"/>
      <c r="QAU66" s="5"/>
      <c r="QAV66" s="5"/>
      <c r="QAW66" s="5"/>
      <c r="QAX66" s="5"/>
      <c r="QAY66" s="5"/>
      <c r="QAZ66" s="5"/>
      <c r="QBA66" s="5"/>
      <c r="QBB66" s="5"/>
      <c r="QBC66" s="5"/>
      <c r="QBD66" s="5"/>
      <c r="QBE66" s="5"/>
      <c r="QBF66" s="5"/>
      <c r="QBG66" s="5"/>
      <c r="QBH66" s="5"/>
      <c r="QBI66" s="5"/>
      <c r="QBJ66" s="5"/>
      <c r="QBK66" s="5"/>
      <c r="QBL66" s="5"/>
      <c r="QBM66" s="5"/>
      <c r="QBN66" s="5"/>
      <c r="QBO66" s="5"/>
      <c r="QBP66" s="5"/>
      <c r="QBQ66" s="5"/>
      <c r="QBR66" s="5"/>
      <c r="QBS66" s="5"/>
      <c r="QBT66" s="5"/>
      <c r="QBU66" s="5"/>
      <c r="QBV66" s="5"/>
      <c r="QBW66" s="5"/>
      <c r="QBX66" s="5"/>
      <c r="QBY66" s="5"/>
      <c r="QBZ66" s="5"/>
      <c r="QCA66" s="5"/>
      <c r="QCB66" s="5"/>
      <c r="QCC66" s="5"/>
      <c r="QCD66" s="5"/>
      <c r="QCE66" s="5"/>
      <c r="QCF66" s="5"/>
      <c r="QCG66" s="5"/>
      <c r="QCH66" s="5"/>
      <c r="QCI66" s="5"/>
      <c r="QCJ66" s="5"/>
      <c r="QCK66" s="5"/>
      <c r="QCL66" s="5"/>
      <c r="QCM66" s="5"/>
      <c r="QCN66" s="5"/>
      <c r="QCO66" s="5"/>
      <c r="QCP66" s="5"/>
      <c r="QCQ66" s="5"/>
      <c r="QCR66" s="5"/>
      <c r="QCS66" s="5"/>
      <c r="QCT66" s="5"/>
      <c r="QCU66" s="5"/>
      <c r="QCV66" s="5"/>
      <c r="QCW66" s="5"/>
      <c r="QCX66" s="5"/>
      <c r="QCY66" s="5"/>
      <c r="QCZ66" s="5"/>
      <c r="QDA66" s="5"/>
      <c r="QDB66" s="5"/>
      <c r="QDC66" s="5"/>
      <c r="QDD66" s="5"/>
      <c r="QDE66" s="5"/>
      <c r="QDF66" s="5"/>
      <c r="QDG66" s="5"/>
      <c r="QDH66" s="5"/>
      <c r="QDI66" s="5"/>
      <c r="QDJ66" s="5"/>
      <c r="QDK66" s="5"/>
      <c r="QDL66" s="5"/>
      <c r="QDM66" s="5"/>
      <c r="QDN66" s="5"/>
      <c r="QDO66" s="5"/>
      <c r="QDP66" s="5"/>
      <c r="QDQ66" s="5"/>
      <c r="QDR66" s="5"/>
      <c r="QDS66" s="5"/>
      <c r="QDT66" s="5"/>
      <c r="QDU66" s="5"/>
      <c r="QDV66" s="5"/>
      <c r="QDW66" s="5"/>
      <c r="QDX66" s="5"/>
      <c r="QDY66" s="5"/>
      <c r="QDZ66" s="5"/>
      <c r="QEA66" s="5"/>
      <c r="QEB66" s="5"/>
      <c r="QEC66" s="5"/>
      <c r="QED66" s="5"/>
      <c r="QEE66" s="5"/>
      <c r="QEF66" s="5"/>
      <c r="QEG66" s="5"/>
      <c r="QEH66" s="5"/>
      <c r="QEI66" s="5"/>
      <c r="QEJ66" s="5"/>
      <c r="QEK66" s="5"/>
      <c r="QEL66" s="5"/>
      <c r="QEM66" s="5"/>
      <c r="QEN66" s="5"/>
      <c r="QEO66" s="5"/>
      <c r="QEP66" s="5"/>
      <c r="QEQ66" s="5"/>
      <c r="QER66" s="5"/>
      <c r="QES66" s="5"/>
      <c r="QET66" s="5"/>
      <c r="QEU66" s="5"/>
      <c r="QEV66" s="5"/>
      <c r="QEW66" s="5"/>
      <c r="QEX66" s="5"/>
      <c r="QEY66" s="5"/>
      <c r="QEZ66" s="5"/>
      <c r="QFA66" s="5"/>
      <c r="QFB66" s="5"/>
      <c r="QFC66" s="5"/>
      <c r="QFD66" s="5"/>
      <c r="QFE66" s="5"/>
      <c r="QFF66" s="5"/>
      <c r="QFG66" s="5"/>
      <c r="QFH66" s="5"/>
      <c r="QFI66" s="5"/>
      <c r="QFJ66" s="5"/>
      <c r="QFK66" s="5"/>
      <c r="QFL66" s="5"/>
      <c r="QFM66" s="5"/>
      <c r="QFN66" s="5"/>
      <c r="QFO66" s="5"/>
      <c r="QFP66" s="5"/>
      <c r="QFQ66" s="5"/>
      <c r="QFR66" s="5"/>
      <c r="QFS66" s="5"/>
      <c r="QFT66" s="5"/>
      <c r="QFU66" s="5"/>
      <c r="QFV66" s="5"/>
      <c r="QFW66" s="5"/>
      <c r="QFX66" s="5"/>
      <c r="QFY66" s="5"/>
      <c r="QFZ66" s="5"/>
      <c r="QGA66" s="5"/>
      <c r="QGB66" s="5"/>
      <c r="QGC66" s="5"/>
      <c r="QGD66" s="5"/>
      <c r="QGE66" s="5"/>
      <c r="QGF66" s="5"/>
      <c r="QGG66" s="5"/>
      <c r="QGH66" s="5"/>
      <c r="QGI66" s="5"/>
      <c r="QGJ66" s="5"/>
      <c r="QGK66" s="5"/>
      <c r="QGL66" s="5"/>
      <c r="QGM66" s="5"/>
      <c r="QGN66" s="5"/>
      <c r="QGO66" s="5"/>
      <c r="QGP66" s="5"/>
      <c r="QGQ66" s="5"/>
      <c r="QGR66" s="5"/>
      <c r="QGS66" s="5"/>
      <c r="QGT66" s="5"/>
      <c r="QGU66" s="5"/>
      <c r="QGV66" s="5"/>
      <c r="QGW66" s="5"/>
      <c r="QGX66" s="5"/>
      <c r="QGY66" s="5"/>
      <c r="QGZ66" s="5"/>
      <c r="QHA66" s="5"/>
      <c r="QHB66" s="5"/>
      <c r="QHC66" s="5"/>
      <c r="QHD66" s="5"/>
      <c r="QHE66" s="5"/>
      <c r="QHF66" s="5"/>
      <c r="QHG66" s="5"/>
      <c r="QHH66" s="5"/>
      <c r="QHI66" s="5"/>
      <c r="QHJ66" s="5"/>
      <c r="QHK66" s="5"/>
      <c r="QHL66" s="5"/>
      <c r="QHM66" s="5"/>
      <c r="QHN66" s="5"/>
      <c r="QHO66" s="5"/>
      <c r="QHP66" s="5"/>
      <c r="QHQ66" s="5"/>
      <c r="QHR66" s="5"/>
      <c r="QHS66" s="5"/>
      <c r="QHT66" s="5"/>
      <c r="QHU66" s="5"/>
      <c r="QHV66" s="5"/>
      <c r="QHW66" s="5"/>
      <c r="QHX66" s="5"/>
      <c r="QHY66" s="5"/>
      <c r="QHZ66" s="5"/>
      <c r="QIA66" s="5"/>
      <c r="QIB66" s="5"/>
      <c r="QIC66" s="5"/>
      <c r="QID66" s="5"/>
      <c r="QIE66" s="5"/>
      <c r="QIF66" s="5"/>
      <c r="QIG66" s="5"/>
      <c r="QIH66" s="5"/>
      <c r="QII66" s="5"/>
      <c r="QIJ66" s="5"/>
      <c r="QIK66" s="5"/>
      <c r="QIL66" s="5"/>
      <c r="QIM66" s="5"/>
      <c r="QIN66" s="5"/>
      <c r="QIO66" s="5"/>
      <c r="QIP66" s="5"/>
      <c r="QIQ66" s="5"/>
      <c r="QIR66" s="5"/>
      <c r="QIS66" s="5"/>
      <c r="QIT66" s="5"/>
      <c r="QIU66" s="5"/>
      <c r="QIV66" s="5"/>
      <c r="QIW66" s="5"/>
      <c r="QIX66" s="5"/>
      <c r="QIY66" s="5"/>
      <c r="QIZ66" s="5"/>
      <c r="QJA66" s="5"/>
      <c r="QJB66" s="5"/>
      <c r="QJC66" s="5"/>
      <c r="QJD66" s="5"/>
      <c r="QJE66" s="5"/>
      <c r="QJF66" s="5"/>
      <c r="QJG66" s="5"/>
      <c r="QJH66" s="5"/>
      <c r="QJI66" s="5"/>
      <c r="QJJ66" s="5"/>
      <c r="QJK66" s="5"/>
      <c r="QJL66" s="5"/>
      <c r="QJM66" s="5"/>
      <c r="QJN66" s="5"/>
      <c r="QJO66" s="5"/>
      <c r="QJP66" s="5"/>
      <c r="QJQ66" s="5"/>
      <c r="QJR66" s="5"/>
      <c r="QJS66" s="5"/>
      <c r="QJT66" s="5"/>
      <c r="QJU66" s="5"/>
      <c r="QJV66" s="5"/>
      <c r="QJW66" s="5"/>
      <c r="QJX66" s="5"/>
      <c r="QJY66" s="5"/>
      <c r="QJZ66" s="5"/>
      <c r="QKA66" s="5"/>
      <c r="QKB66" s="5"/>
      <c r="QKC66" s="5"/>
      <c r="QKD66" s="5"/>
      <c r="QKE66" s="5"/>
      <c r="QKF66" s="5"/>
      <c r="QKG66" s="5"/>
      <c r="QKH66" s="5"/>
      <c r="QKI66" s="5"/>
      <c r="QKJ66" s="5"/>
      <c r="QKK66" s="5"/>
      <c r="QKL66" s="5"/>
      <c r="QKM66" s="5"/>
      <c r="QKN66" s="5"/>
      <c r="QKO66" s="5"/>
      <c r="QKP66" s="5"/>
      <c r="QKQ66" s="5"/>
      <c r="QKR66" s="5"/>
      <c r="QKS66" s="5"/>
      <c r="QKT66" s="5"/>
      <c r="QKU66" s="5"/>
      <c r="QKV66" s="5"/>
      <c r="QKW66" s="5"/>
      <c r="QKX66" s="5"/>
      <c r="QKY66" s="5"/>
      <c r="QKZ66" s="5"/>
      <c r="QLA66" s="5"/>
      <c r="QLB66" s="5"/>
      <c r="QLC66" s="5"/>
      <c r="QLD66" s="5"/>
      <c r="QLE66" s="5"/>
      <c r="QLF66" s="5"/>
      <c r="QLG66" s="5"/>
      <c r="QLH66" s="5"/>
      <c r="QLI66" s="5"/>
      <c r="QLJ66" s="5"/>
      <c r="QLK66" s="5"/>
      <c r="QLL66" s="5"/>
      <c r="QLM66" s="5"/>
      <c r="QLN66" s="5"/>
      <c r="QLO66" s="5"/>
      <c r="QLP66" s="5"/>
      <c r="QLQ66" s="5"/>
      <c r="QLR66" s="5"/>
      <c r="QLS66" s="5"/>
      <c r="QLT66" s="5"/>
      <c r="QLU66" s="5"/>
      <c r="QLV66" s="5"/>
      <c r="QLW66" s="5"/>
      <c r="QLX66" s="5"/>
      <c r="QLY66" s="5"/>
      <c r="QLZ66" s="5"/>
      <c r="QMA66" s="5"/>
      <c r="QMB66" s="5"/>
      <c r="QMC66" s="5"/>
      <c r="QMD66" s="5"/>
      <c r="QME66" s="5"/>
      <c r="QMF66" s="5"/>
      <c r="QMG66" s="5"/>
      <c r="QMH66" s="5"/>
      <c r="QMI66" s="5"/>
      <c r="QMJ66" s="5"/>
      <c r="QMK66" s="5"/>
      <c r="QML66" s="5"/>
      <c r="QMM66" s="5"/>
      <c r="QMN66" s="5"/>
      <c r="QMO66" s="5"/>
      <c r="QMP66" s="5"/>
      <c r="QMQ66" s="5"/>
      <c r="QMR66" s="5"/>
      <c r="QMS66" s="5"/>
      <c r="QMT66" s="5"/>
      <c r="QMU66" s="5"/>
      <c r="QMV66" s="5"/>
      <c r="QMW66" s="5"/>
      <c r="QMX66" s="5"/>
      <c r="QMY66" s="5"/>
      <c r="QMZ66" s="5"/>
      <c r="QNA66" s="5"/>
      <c r="QNB66" s="5"/>
      <c r="QNC66" s="5"/>
      <c r="QND66" s="5"/>
      <c r="QNE66" s="5"/>
      <c r="QNF66" s="5"/>
      <c r="QNG66" s="5"/>
      <c r="QNH66" s="5"/>
      <c r="QNI66" s="5"/>
      <c r="QNJ66" s="5"/>
      <c r="QNK66" s="5"/>
      <c r="QNL66" s="5"/>
      <c r="QNM66" s="5"/>
      <c r="QNN66" s="5"/>
      <c r="QNO66" s="5"/>
      <c r="QNP66" s="5"/>
      <c r="QNQ66" s="5"/>
      <c r="QNR66" s="5"/>
      <c r="QNS66" s="5"/>
      <c r="QNT66" s="5"/>
      <c r="QNU66" s="5"/>
      <c r="QNV66" s="5"/>
      <c r="QNW66" s="5"/>
      <c r="QNX66" s="5"/>
      <c r="QNY66" s="5"/>
      <c r="QNZ66" s="5"/>
      <c r="QOA66" s="5"/>
      <c r="QOB66" s="5"/>
      <c r="QOC66" s="5"/>
      <c r="QOD66" s="5"/>
      <c r="QOE66" s="5"/>
      <c r="QOF66" s="5"/>
      <c r="QOG66" s="5"/>
      <c r="QOH66" s="5"/>
      <c r="QOI66" s="5"/>
      <c r="QOJ66" s="5"/>
      <c r="QOK66" s="5"/>
      <c r="QOL66" s="5"/>
      <c r="QOM66" s="5"/>
      <c r="QON66" s="5"/>
      <c r="QOO66" s="5"/>
      <c r="QOP66" s="5"/>
      <c r="QOQ66" s="5"/>
      <c r="QOR66" s="5"/>
      <c r="QOS66" s="5"/>
      <c r="QOT66" s="5"/>
      <c r="QOU66" s="5"/>
      <c r="QOV66" s="5"/>
      <c r="QOW66" s="5"/>
      <c r="QOX66" s="5"/>
      <c r="QOY66" s="5"/>
      <c r="QOZ66" s="5"/>
      <c r="QPA66" s="5"/>
      <c r="QPB66" s="5"/>
      <c r="QPC66" s="5"/>
      <c r="QPD66" s="5"/>
      <c r="QPE66" s="5"/>
      <c r="QPF66" s="5"/>
      <c r="QPG66" s="5"/>
      <c r="QPH66" s="5"/>
      <c r="QPI66" s="5"/>
      <c r="QPJ66" s="5"/>
      <c r="QPK66" s="5"/>
      <c r="QPL66" s="5"/>
      <c r="QPM66" s="5"/>
      <c r="QPN66" s="5"/>
      <c r="QPO66" s="5"/>
      <c r="QPP66" s="5"/>
      <c r="QPQ66" s="5"/>
      <c r="QPR66" s="5"/>
      <c r="QPS66" s="5"/>
      <c r="QPT66" s="5"/>
      <c r="QPU66" s="5"/>
      <c r="QPV66" s="5"/>
      <c r="QPW66" s="5"/>
      <c r="QPX66" s="5"/>
      <c r="QPY66" s="5"/>
      <c r="QPZ66" s="5"/>
      <c r="QQA66" s="5"/>
      <c r="QQB66" s="5"/>
      <c r="QQC66" s="5"/>
      <c r="QQD66" s="5"/>
      <c r="QQE66" s="5"/>
      <c r="QQF66" s="5"/>
      <c r="QQG66" s="5"/>
      <c r="QQH66" s="5"/>
      <c r="QQI66" s="5"/>
      <c r="QQJ66" s="5"/>
      <c r="QQK66" s="5"/>
      <c r="QQL66" s="5"/>
      <c r="QQM66" s="5"/>
      <c r="QQN66" s="5"/>
      <c r="QQO66" s="5"/>
      <c r="QQP66" s="5"/>
      <c r="QQQ66" s="5"/>
      <c r="QQR66" s="5"/>
      <c r="QQS66" s="5"/>
      <c r="QQT66" s="5"/>
      <c r="QQU66" s="5"/>
      <c r="QQV66" s="5"/>
      <c r="QQW66" s="5"/>
      <c r="QQX66" s="5"/>
      <c r="QQY66" s="5"/>
      <c r="QQZ66" s="5"/>
      <c r="QRA66" s="5"/>
      <c r="QRB66" s="5"/>
      <c r="QRC66" s="5"/>
      <c r="QRD66" s="5"/>
      <c r="QRE66" s="5"/>
      <c r="QRF66" s="5"/>
      <c r="QRG66" s="5"/>
      <c r="QRH66" s="5"/>
      <c r="QRI66" s="5"/>
      <c r="QRJ66" s="5"/>
      <c r="QRK66" s="5"/>
      <c r="QRL66" s="5"/>
      <c r="QRM66" s="5"/>
      <c r="QRN66" s="5"/>
      <c r="QRO66" s="5"/>
      <c r="QRP66" s="5"/>
      <c r="QRQ66" s="5"/>
      <c r="QRR66" s="5"/>
      <c r="QRS66" s="5"/>
      <c r="QRT66" s="5"/>
      <c r="QRU66" s="5"/>
      <c r="QRV66" s="5"/>
      <c r="QRW66" s="5"/>
      <c r="QRX66" s="5"/>
      <c r="QRY66" s="5"/>
      <c r="QRZ66" s="5"/>
      <c r="QSA66" s="5"/>
      <c r="QSB66" s="5"/>
      <c r="QSC66" s="5"/>
      <c r="QSD66" s="5"/>
      <c r="QSE66" s="5"/>
      <c r="QSF66" s="5"/>
      <c r="QSG66" s="5"/>
      <c r="QSH66" s="5"/>
      <c r="QSI66" s="5"/>
      <c r="QSJ66" s="5"/>
      <c r="QSK66" s="5"/>
      <c r="QSL66" s="5"/>
      <c r="QSM66" s="5"/>
      <c r="QSN66" s="5"/>
      <c r="QSO66" s="5"/>
      <c r="QSP66" s="5"/>
      <c r="QSQ66" s="5"/>
      <c r="QSR66" s="5"/>
      <c r="QSS66" s="5"/>
      <c r="QST66" s="5"/>
      <c r="QSU66" s="5"/>
      <c r="QSV66" s="5"/>
      <c r="QSW66" s="5"/>
      <c r="QSX66" s="5"/>
      <c r="QSY66" s="5"/>
      <c r="QSZ66" s="5"/>
      <c r="QTA66" s="5"/>
      <c r="QTB66" s="5"/>
      <c r="QTC66" s="5"/>
      <c r="QTD66" s="5"/>
      <c r="QTE66" s="5"/>
      <c r="QTF66" s="5"/>
      <c r="QTG66" s="5"/>
      <c r="QTH66" s="5"/>
      <c r="QTI66" s="5"/>
      <c r="QTJ66" s="5"/>
      <c r="QTK66" s="5"/>
      <c r="QTL66" s="5"/>
      <c r="QTM66" s="5"/>
      <c r="QTN66" s="5"/>
      <c r="QTO66" s="5"/>
      <c r="QTP66" s="5"/>
      <c r="QTQ66" s="5"/>
      <c r="QTR66" s="5"/>
      <c r="QTS66" s="5"/>
      <c r="QTT66" s="5"/>
      <c r="QTU66" s="5"/>
      <c r="QTV66" s="5"/>
      <c r="QTW66" s="5"/>
      <c r="QTX66" s="5"/>
      <c r="QTY66" s="5"/>
      <c r="QTZ66" s="5"/>
      <c r="QUA66" s="5"/>
      <c r="QUB66" s="5"/>
      <c r="QUC66" s="5"/>
      <c r="QUD66" s="5"/>
      <c r="QUE66" s="5"/>
      <c r="QUF66" s="5"/>
      <c r="QUG66" s="5"/>
      <c r="QUH66" s="5"/>
      <c r="QUI66" s="5"/>
      <c r="QUJ66" s="5"/>
      <c r="QUK66" s="5"/>
      <c r="QUL66" s="5"/>
      <c r="QUM66" s="5"/>
      <c r="QUN66" s="5"/>
      <c r="QUO66" s="5"/>
      <c r="QUP66" s="5"/>
      <c r="QUQ66" s="5"/>
      <c r="QUR66" s="5"/>
      <c r="QUS66" s="5"/>
      <c r="QUT66" s="5"/>
      <c r="QUU66" s="5"/>
      <c r="QUV66" s="5"/>
      <c r="QUW66" s="5"/>
      <c r="QUX66" s="5"/>
      <c r="QUY66" s="5"/>
      <c r="QUZ66" s="5"/>
      <c r="QVA66" s="5"/>
      <c r="QVB66" s="5"/>
      <c r="QVC66" s="5"/>
      <c r="QVD66" s="5"/>
      <c r="QVE66" s="5"/>
      <c r="QVF66" s="5"/>
      <c r="QVG66" s="5"/>
      <c r="QVH66" s="5"/>
      <c r="QVI66" s="5"/>
      <c r="QVJ66" s="5"/>
      <c r="QVK66" s="5"/>
      <c r="QVL66" s="5"/>
      <c r="QVM66" s="5"/>
      <c r="QVN66" s="5"/>
      <c r="QVO66" s="5"/>
      <c r="QVP66" s="5"/>
      <c r="QVQ66" s="5"/>
      <c r="QVR66" s="5"/>
      <c r="QVS66" s="5"/>
      <c r="QVT66" s="5"/>
      <c r="QVU66" s="5"/>
      <c r="QVV66" s="5"/>
      <c r="QVW66" s="5"/>
      <c r="QVX66" s="5"/>
      <c r="QVY66" s="5"/>
      <c r="QVZ66" s="5"/>
      <c r="QWA66" s="5"/>
      <c r="QWB66" s="5"/>
      <c r="QWC66" s="5"/>
      <c r="QWD66" s="5"/>
      <c r="QWE66" s="5"/>
      <c r="QWF66" s="5"/>
      <c r="QWG66" s="5"/>
      <c r="QWH66" s="5"/>
      <c r="QWI66" s="5"/>
      <c r="QWJ66" s="5"/>
      <c r="QWK66" s="5"/>
      <c r="QWL66" s="5"/>
      <c r="QWM66" s="5"/>
      <c r="QWN66" s="5"/>
      <c r="QWO66" s="5"/>
      <c r="QWP66" s="5"/>
      <c r="QWQ66" s="5"/>
      <c r="QWR66" s="5"/>
      <c r="QWS66" s="5"/>
      <c r="QWT66" s="5"/>
      <c r="QWU66" s="5"/>
      <c r="QWV66" s="5"/>
      <c r="QWW66" s="5"/>
      <c r="QWX66" s="5"/>
      <c r="QWY66" s="5"/>
      <c r="QWZ66" s="5"/>
      <c r="QXA66" s="5"/>
      <c r="QXB66" s="5"/>
      <c r="QXC66" s="5"/>
      <c r="QXD66" s="5"/>
      <c r="QXE66" s="5"/>
      <c r="QXF66" s="5"/>
      <c r="QXG66" s="5"/>
      <c r="QXH66" s="5"/>
      <c r="QXI66" s="5"/>
      <c r="QXJ66" s="5"/>
      <c r="QXK66" s="5"/>
      <c r="QXL66" s="5"/>
      <c r="QXM66" s="5"/>
      <c r="QXN66" s="5"/>
      <c r="QXO66" s="5"/>
      <c r="QXP66" s="5"/>
      <c r="QXQ66" s="5"/>
      <c r="QXR66" s="5"/>
      <c r="QXS66" s="5"/>
      <c r="QXT66" s="5"/>
      <c r="QXU66" s="5"/>
      <c r="QXV66" s="5"/>
      <c r="QXW66" s="5"/>
      <c r="QXX66" s="5"/>
      <c r="QXY66" s="5"/>
      <c r="QXZ66" s="5"/>
      <c r="QYA66" s="5"/>
      <c r="QYB66" s="5"/>
      <c r="QYC66" s="5"/>
      <c r="QYD66" s="5"/>
      <c r="QYE66" s="5"/>
      <c r="QYF66" s="5"/>
      <c r="QYG66" s="5"/>
      <c r="QYH66" s="5"/>
      <c r="QYI66" s="5"/>
      <c r="QYJ66" s="5"/>
      <c r="QYK66" s="5"/>
      <c r="QYL66" s="5"/>
      <c r="QYM66" s="5"/>
      <c r="QYN66" s="5"/>
      <c r="QYO66" s="5"/>
      <c r="QYP66" s="5"/>
      <c r="QYQ66" s="5"/>
      <c r="QYR66" s="5"/>
      <c r="QYS66" s="5"/>
      <c r="QYT66" s="5"/>
      <c r="QYU66" s="5"/>
      <c r="QYV66" s="5"/>
      <c r="QYW66" s="5"/>
      <c r="QYX66" s="5"/>
      <c r="QYY66" s="5"/>
      <c r="QYZ66" s="5"/>
      <c r="QZA66" s="5"/>
      <c r="QZB66" s="5"/>
      <c r="QZC66" s="5"/>
      <c r="QZD66" s="5"/>
      <c r="QZE66" s="5"/>
      <c r="QZF66" s="5"/>
      <c r="QZG66" s="5"/>
      <c r="QZH66" s="5"/>
      <c r="QZI66" s="5"/>
      <c r="QZJ66" s="5"/>
      <c r="QZK66" s="5"/>
      <c r="QZL66" s="5"/>
      <c r="QZM66" s="5"/>
      <c r="QZN66" s="5"/>
      <c r="QZO66" s="5"/>
      <c r="QZP66" s="5"/>
      <c r="QZQ66" s="5"/>
      <c r="QZR66" s="5"/>
      <c r="QZS66" s="5"/>
      <c r="QZT66" s="5"/>
      <c r="QZU66" s="5"/>
      <c r="QZV66" s="5"/>
      <c r="QZW66" s="5"/>
      <c r="QZX66" s="5"/>
      <c r="QZY66" s="5"/>
      <c r="QZZ66" s="5"/>
      <c r="RAA66" s="5"/>
      <c r="RAB66" s="5"/>
      <c r="RAC66" s="5"/>
      <c r="RAD66" s="5"/>
      <c r="RAE66" s="5"/>
      <c r="RAF66" s="5"/>
      <c r="RAG66" s="5"/>
      <c r="RAH66" s="5"/>
      <c r="RAI66" s="5"/>
      <c r="RAJ66" s="5"/>
      <c r="RAK66" s="5"/>
      <c r="RAL66" s="5"/>
      <c r="RAM66" s="5"/>
      <c r="RAN66" s="5"/>
      <c r="RAO66" s="5"/>
      <c r="RAP66" s="5"/>
      <c r="RAQ66" s="5"/>
      <c r="RAR66" s="5"/>
      <c r="RAS66" s="5"/>
      <c r="RAT66" s="5"/>
      <c r="RAU66" s="5"/>
      <c r="RAV66" s="5"/>
      <c r="RAW66" s="5"/>
      <c r="RAX66" s="5"/>
      <c r="RAY66" s="5"/>
      <c r="RAZ66" s="5"/>
      <c r="RBA66" s="5"/>
      <c r="RBB66" s="5"/>
      <c r="RBC66" s="5"/>
      <c r="RBD66" s="5"/>
      <c r="RBE66" s="5"/>
      <c r="RBF66" s="5"/>
      <c r="RBG66" s="5"/>
      <c r="RBH66" s="5"/>
      <c r="RBI66" s="5"/>
      <c r="RBJ66" s="5"/>
      <c r="RBK66" s="5"/>
      <c r="RBL66" s="5"/>
      <c r="RBM66" s="5"/>
      <c r="RBN66" s="5"/>
      <c r="RBO66" s="5"/>
      <c r="RBP66" s="5"/>
      <c r="RBQ66" s="5"/>
      <c r="RBR66" s="5"/>
      <c r="RBS66" s="5"/>
      <c r="RBT66" s="5"/>
      <c r="RBU66" s="5"/>
      <c r="RBV66" s="5"/>
      <c r="RBW66" s="5"/>
      <c r="RBX66" s="5"/>
      <c r="RBY66" s="5"/>
      <c r="RBZ66" s="5"/>
      <c r="RCA66" s="5"/>
      <c r="RCB66" s="5"/>
      <c r="RCC66" s="5"/>
      <c r="RCD66" s="5"/>
      <c r="RCE66" s="5"/>
      <c r="RCF66" s="5"/>
      <c r="RCG66" s="5"/>
      <c r="RCH66" s="5"/>
      <c r="RCI66" s="5"/>
      <c r="RCJ66" s="5"/>
      <c r="RCK66" s="5"/>
      <c r="RCL66" s="5"/>
      <c r="RCM66" s="5"/>
      <c r="RCN66" s="5"/>
      <c r="RCO66" s="5"/>
      <c r="RCP66" s="5"/>
      <c r="RCQ66" s="5"/>
      <c r="RCR66" s="5"/>
      <c r="RCS66" s="5"/>
      <c r="RCT66" s="5"/>
      <c r="RCU66" s="5"/>
      <c r="RCV66" s="5"/>
      <c r="RCW66" s="5"/>
      <c r="RCX66" s="5"/>
      <c r="RCY66" s="5"/>
      <c r="RCZ66" s="5"/>
      <c r="RDA66" s="5"/>
      <c r="RDB66" s="5"/>
      <c r="RDC66" s="5"/>
      <c r="RDD66" s="5"/>
      <c r="RDE66" s="5"/>
      <c r="RDF66" s="5"/>
      <c r="RDG66" s="5"/>
      <c r="RDH66" s="5"/>
      <c r="RDI66" s="5"/>
      <c r="RDJ66" s="5"/>
      <c r="RDK66" s="5"/>
      <c r="RDL66" s="5"/>
      <c r="RDM66" s="5"/>
      <c r="RDN66" s="5"/>
      <c r="RDO66" s="5"/>
      <c r="RDP66" s="5"/>
      <c r="RDQ66" s="5"/>
      <c r="RDR66" s="5"/>
      <c r="RDS66" s="5"/>
      <c r="RDT66" s="5"/>
      <c r="RDU66" s="5"/>
      <c r="RDV66" s="5"/>
      <c r="RDW66" s="5"/>
      <c r="RDX66" s="5"/>
      <c r="RDY66" s="5"/>
      <c r="RDZ66" s="5"/>
      <c r="REA66" s="5"/>
      <c r="REB66" s="5"/>
      <c r="REC66" s="5"/>
      <c r="RED66" s="5"/>
      <c r="REE66" s="5"/>
      <c r="REF66" s="5"/>
      <c r="REG66" s="5"/>
      <c r="REH66" s="5"/>
      <c r="REI66" s="5"/>
      <c r="REJ66" s="5"/>
      <c r="REK66" s="5"/>
      <c r="REL66" s="5"/>
      <c r="REM66" s="5"/>
      <c r="REN66" s="5"/>
      <c r="REO66" s="5"/>
      <c r="REP66" s="5"/>
      <c r="REQ66" s="5"/>
      <c r="RER66" s="5"/>
      <c r="RES66" s="5"/>
      <c r="RET66" s="5"/>
      <c r="REU66" s="5"/>
      <c r="REV66" s="5"/>
      <c r="REW66" s="5"/>
      <c r="REX66" s="5"/>
      <c r="REY66" s="5"/>
      <c r="REZ66" s="5"/>
      <c r="RFA66" s="5"/>
      <c r="RFB66" s="5"/>
      <c r="RFC66" s="5"/>
      <c r="RFD66" s="5"/>
      <c r="RFE66" s="5"/>
      <c r="RFF66" s="5"/>
      <c r="RFG66" s="5"/>
      <c r="RFH66" s="5"/>
      <c r="RFI66" s="5"/>
      <c r="RFJ66" s="5"/>
      <c r="RFK66" s="5"/>
      <c r="RFL66" s="5"/>
      <c r="RFM66" s="5"/>
      <c r="RFN66" s="5"/>
      <c r="RFO66" s="5"/>
      <c r="RFP66" s="5"/>
      <c r="RFQ66" s="5"/>
      <c r="RFR66" s="5"/>
      <c r="RFS66" s="5"/>
      <c r="RFT66" s="5"/>
      <c r="RFU66" s="5"/>
      <c r="RFV66" s="5"/>
      <c r="RFW66" s="5"/>
      <c r="RFX66" s="5"/>
      <c r="RFY66" s="5"/>
      <c r="RFZ66" s="5"/>
      <c r="RGA66" s="5"/>
      <c r="RGB66" s="5"/>
      <c r="RGC66" s="5"/>
      <c r="RGD66" s="5"/>
      <c r="RGE66" s="5"/>
      <c r="RGF66" s="5"/>
      <c r="RGG66" s="5"/>
      <c r="RGH66" s="5"/>
      <c r="RGI66" s="5"/>
      <c r="RGJ66" s="5"/>
      <c r="RGK66" s="5"/>
      <c r="RGL66" s="5"/>
      <c r="RGM66" s="5"/>
      <c r="RGN66" s="5"/>
      <c r="RGO66" s="5"/>
      <c r="RGP66" s="5"/>
      <c r="RGQ66" s="5"/>
      <c r="RGR66" s="5"/>
      <c r="RGS66" s="5"/>
      <c r="RGT66" s="5"/>
      <c r="RGU66" s="5"/>
      <c r="RGV66" s="5"/>
      <c r="RGW66" s="5"/>
      <c r="RGX66" s="5"/>
      <c r="RGY66" s="5"/>
      <c r="RGZ66" s="5"/>
      <c r="RHA66" s="5"/>
      <c r="RHB66" s="5"/>
      <c r="RHC66" s="5"/>
      <c r="RHD66" s="5"/>
      <c r="RHE66" s="5"/>
      <c r="RHF66" s="5"/>
      <c r="RHG66" s="5"/>
      <c r="RHH66" s="5"/>
      <c r="RHI66" s="5"/>
      <c r="RHJ66" s="5"/>
      <c r="RHK66" s="5"/>
      <c r="RHL66" s="5"/>
      <c r="RHM66" s="5"/>
      <c r="RHN66" s="5"/>
      <c r="RHO66" s="5"/>
      <c r="RHP66" s="5"/>
      <c r="RHQ66" s="5"/>
      <c r="RHR66" s="5"/>
      <c r="RHS66" s="5"/>
      <c r="RHT66" s="5"/>
      <c r="RHU66" s="5"/>
      <c r="RHV66" s="5"/>
      <c r="RHW66" s="5"/>
      <c r="RHX66" s="5"/>
      <c r="RHY66" s="5"/>
      <c r="RHZ66" s="5"/>
      <c r="RIA66" s="5"/>
      <c r="RIB66" s="5"/>
      <c r="RIC66" s="5"/>
      <c r="RID66" s="5"/>
      <c r="RIE66" s="5"/>
      <c r="RIF66" s="5"/>
      <c r="RIG66" s="5"/>
      <c r="RIH66" s="5"/>
      <c r="RII66" s="5"/>
      <c r="RIJ66" s="5"/>
      <c r="RIK66" s="5"/>
      <c r="RIL66" s="5"/>
      <c r="RIM66" s="5"/>
      <c r="RIN66" s="5"/>
      <c r="RIO66" s="5"/>
      <c r="RIP66" s="5"/>
      <c r="RIQ66" s="5"/>
      <c r="RIR66" s="5"/>
      <c r="RIS66" s="5"/>
      <c r="RIT66" s="5"/>
      <c r="RIU66" s="5"/>
      <c r="RIV66" s="5"/>
      <c r="RIW66" s="5"/>
      <c r="RIX66" s="5"/>
      <c r="RIY66" s="5"/>
      <c r="RIZ66" s="5"/>
      <c r="RJA66" s="5"/>
      <c r="RJB66" s="5"/>
      <c r="RJC66" s="5"/>
      <c r="RJD66" s="5"/>
      <c r="RJE66" s="5"/>
      <c r="RJF66" s="5"/>
      <c r="RJG66" s="5"/>
      <c r="RJH66" s="5"/>
      <c r="RJI66" s="5"/>
      <c r="RJJ66" s="5"/>
      <c r="RJK66" s="5"/>
      <c r="RJL66" s="5"/>
      <c r="RJM66" s="5"/>
      <c r="RJN66" s="5"/>
      <c r="RJO66" s="5"/>
      <c r="RJP66" s="5"/>
      <c r="RJQ66" s="5"/>
      <c r="RJR66" s="5"/>
      <c r="RJS66" s="5"/>
      <c r="RJT66" s="5"/>
      <c r="RJU66" s="5"/>
      <c r="RJV66" s="5"/>
      <c r="RJW66" s="5"/>
      <c r="RJX66" s="5"/>
      <c r="RJY66" s="5"/>
      <c r="RJZ66" s="5"/>
      <c r="RKA66" s="5"/>
      <c r="RKB66" s="5"/>
      <c r="RKC66" s="5"/>
      <c r="RKD66" s="5"/>
      <c r="RKE66" s="5"/>
      <c r="RKF66" s="5"/>
      <c r="RKG66" s="5"/>
      <c r="RKH66" s="5"/>
      <c r="RKI66" s="5"/>
      <c r="RKJ66" s="5"/>
      <c r="RKK66" s="5"/>
      <c r="RKL66" s="5"/>
      <c r="RKM66" s="5"/>
      <c r="RKN66" s="5"/>
      <c r="RKO66" s="5"/>
      <c r="RKP66" s="5"/>
      <c r="RKQ66" s="5"/>
      <c r="RKR66" s="5"/>
      <c r="RKS66" s="5"/>
      <c r="RKT66" s="5"/>
      <c r="RKU66" s="5"/>
      <c r="RKV66" s="5"/>
      <c r="RKW66" s="5"/>
      <c r="RKX66" s="5"/>
      <c r="RKY66" s="5"/>
      <c r="RKZ66" s="5"/>
      <c r="RLA66" s="5"/>
      <c r="RLB66" s="5"/>
      <c r="RLC66" s="5"/>
      <c r="RLD66" s="5"/>
      <c r="RLE66" s="5"/>
      <c r="RLF66" s="5"/>
      <c r="RLG66" s="5"/>
      <c r="RLH66" s="5"/>
      <c r="RLI66" s="5"/>
      <c r="RLJ66" s="5"/>
      <c r="RLK66" s="5"/>
      <c r="RLL66" s="5"/>
      <c r="RLM66" s="5"/>
      <c r="RLN66" s="5"/>
      <c r="RLO66" s="5"/>
      <c r="RLP66" s="5"/>
      <c r="RLQ66" s="5"/>
      <c r="RLR66" s="5"/>
      <c r="RLS66" s="5"/>
      <c r="RLT66" s="5"/>
      <c r="RLU66" s="5"/>
      <c r="RLV66" s="5"/>
      <c r="RLW66" s="5"/>
      <c r="RLX66" s="5"/>
      <c r="RLY66" s="5"/>
      <c r="RLZ66" s="5"/>
      <c r="RMA66" s="5"/>
      <c r="RMB66" s="5"/>
      <c r="RMC66" s="5"/>
      <c r="RMD66" s="5"/>
      <c r="RME66" s="5"/>
      <c r="RMF66" s="5"/>
      <c r="RMG66" s="5"/>
      <c r="RMH66" s="5"/>
      <c r="RMI66" s="5"/>
      <c r="RMJ66" s="5"/>
      <c r="RMK66" s="5"/>
      <c r="RML66" s="5"/>
      <c r="RMM66" s="5"/>
      <c r="RMN66" s="5"/>
      <c r="RMO66" s="5"/>
      <c r="RMP66" s="5"/>
      <c r="RMQ66" s="5"/>
      <c r="RMR66" s="5"/>
      <c r="RMS66" s="5"/>
      <c r="RMT66" s="5"/>
      <c r="RMU66" s="5"/>
      <c r="RMV66" s="5"/>
      <c r="RMW66" s="5"/>
      <c r="RMX66" s="5"/>
      <c r="RMY66" s="5"/>
      <c r="RMZ66" s="5"/>
      <c r="RNA66" s="5"/>
      <c r="RNB66" s="5"/>
      <c r="RNC66" s="5"/>
      <c r="RND66" s="5"/>
      <c r="RNE66" s="5"/>
      <c r="RNF66" s="5"/>
      <c r="RNG66" s="5"/>
      <c r="RNH66" s="5"/>
      <c r="RNI66" s="5"/>
      <c r="RNJ66" s="5"/>
      <c r="RNK66" s="5"/>
      <c r="RNL66" s="5"/>
      <c r="RNM66" s="5"/>
      <c r="RNN66" s="5"/>
      <c r="RNO66" s="5"/>
      <c r="RNP66" s="5"/>
      <c r="RNQ66" s="5"/>
      <c r="RNR66" s="5"/>
      <c r="RNS66" s="5"/>
      <c r="RNT66" s="5"/>
      <c r="RNU66" s="5"/>
      <c r="RNV66" s="5"/>
      <c r="RNW66" s="5"/>
      <c r="RNX66" s="5"/>
      <c r="RNY66" s="5"/>
      <c r="RNZ66" s="5"/>
      <c r="ROA66" s="5"/>
      <c r="ROB66" s="5"/>
      <c r="ROC66" s="5"/>
      <c r="ROD66" s="5"/>
      <c r="ROE66" s="5"/>
      <c r="ROF66" s="5"/>
      <c r="ROG66" s="5"/>
      <c r="ROH66" s="5"/>
      <c r="ROI66" s="5"/>
      <c r="ROJ66" s="5"/>
      <c r="ROK66" s="5"/>
      <c r="ROL66" s="5"/>
      <c r="ROM66" s="5"/>
      <c r="RON66" s="5"/>
      <c r="ROO66" s="5"/>
      <c r="ROP66" s="5"/>
      <c r="ROQ66" s="5"/>
      <c r="ROR66" s="5"/>
      <c r="ROS66" s="5"/>
      <c r="ROT66" s="5"/>
      <c r="ROU66" s="5"/>
      <c r="ROV66" s="5"/>
      <c r="ROW66" s="5"/>
      <c r="ROX66" s="5"/>
      <c r="ROY66" s="5"/>
      <c r="ROZ66" s="5"/>
      <c r="RPA66" s="5"/>
      <c r="RPB66" s="5"/>
      <c r="RPC66" s="5"/>
      <c r="RPD66" s="5"/>
      <c r="RPE66" s="5"/>
      <c r="RPF66" s="5"/>
      <c r="RPG66" s="5"/>
      <c r="RPH66" s="5"/>
      <c r="RPI66" s="5"/>
      <c r="RPJ66" s="5"/>
      <c r="RPK66" s="5"/>
      <c r="RPL66" s="5"/>
      <c r="RPM66" s="5"/>
      <c r="RPN66" s="5"/>
      <c r="RPO66" s="5"/>
      <c r="RPP66" s="5"/>
      <c r="RPQ66" s="5"/>
      <c r="RPR66" s="5"/>
      <c r="RPS66" s="5"/>
      <c r="RPT66" s="5"/>
      <c r="RPU66" s="5"/>
      <c r="RPV66" s="5"/>
      <c r="RPW66" s="5"/>
      <c r="RPX66" s="5"/>
      <c r="RPY66" s="5"/>
      <c r="RPZ66" s="5"/>
      <c r="RQA66" s="5"/>
      <c r="RQB66" s="5"/>
      <c r="RQC66" s="5"/>
      <c r="RQD66" s="5"/>
      <c r="RQE66" s="5"/>
      <c r="RQF66" s="5"/>
      <c r="RQG66" s="5"/>
      <c r="RQH66" s="5"/>
      <c r="RQI66" s="5"/>
      <c r="RQJ66" s="5"/>
      <c r="RQK66" s="5"/>
      <c r="RQL66" s="5"/>
      <c r="RQM66" s="5"/>
      <c r="RQN66" s="5"/>
      <c r="RQO66" s="5"/>
      <c r="RQP66" s="5"/>
      <c r="RQQ66" s="5"/>
      <c r="RQR66" s="5"/>
      <c r="RQS66" s="5"/>
      <c r="RQT66" s="5"/>
      <c r="RQU66" s="5"/>
      <c r="RQV66" s="5"/>
      <c r="RQW66" s="5"/>
      <c r="RQX66" s="5"/>
      <c r="RQY66" s="5"/>
      <c r="RQZ66" s="5"/>
      <c r="RRA66" s="5"/>
      <c r="RRB66" s="5"/>
      <c r="RRC66" s="5"/>
      <c r="RRD66" s="5"/>
      <c r="RRE66" s="5"/>
      <c r="RRF66" s="5"/>
      <c r="RRG66" s="5"/>
      <c r="RRH66" s="5"/>
      <c r="RRI66" s="5"/>
      <c r="RRJ66" s="5"/>
      <c r="RRK66" s="5"/>
      <c r="RRL66" s="5"/>
      <c r="RRM66" s="5"/>
      <c r="RRN66" s="5"/>
      <c r="RRO66" s="5"/>
      <c r="RRP66" s="5"/>
      <c r="RRQ66" s="5"/>
      <c r="RRR66" s="5"/>
      <c r="RRS66" s="5"/>
      <c r="RRT66" s="5"/>
      <c r="RRU66" s="5"/>
      <c r="RRV66" s="5"/>
      <c r="RRW66" s="5"/>
      <c r="RRX66" s="5"/>
      <c r="RRY66" s="5"/>
      <c r="RRZ66" s="5"/>
      <c r="RSA66" s="5"/>
      <c r="RSB66" s="5"/>
      <c r="RSC66" s="5"/>
      <c r="RSD66" s="5"/>
      <c r="RSE66" s="5"/>
      <c r="RSF66" s="5"/>
      <c r="RSG66" s="5"/>
      <c r="RSH66" s="5"/>
      <c r="RSI66" s="5"/>
      <c r="RSJ66" s="5"/>
      <c r="RSK66" s="5"/>
      <c r="RSL66" s="5"/>
      <c r="RSM66" s="5"/>
      <c r="RSN66" s="5"/>
      <c r="RSO66" s="5"/>
      <c r="RSP66" s="5"/>
      <c r="RSQ66" s="5"/>
      <c r="RSR66" s="5"/>
      <c r="RSS66" s="5"/>
      <c r="RST66" s="5"/>
      <c r="RSU66" s="5"/>
      <c r="RSV66" s="5"/>
      <c r="RSW66" s="5"/>
      <c r="RSX66" s="5"/>
      <c r="RSY66" s="5"/>
      <c r="RSZ66" s="5"/>
      <c r="RTA66" s="5"/>
      <c r="RTB66" s="5"/>
      <c r="RTC66" s="5"/>
      <c r="RTD66" s="5"/>
      <c r="RTE66" s="5"/>
      <c r="RTF66" s="5"/>
      <c r="RTG66" s="5"/>
      <c r="RTH66" s="5"/>
      <c r="RTI66" s="5"/>
      <c r="RTJ66" s="5"/>
      <c r="RTK66" s="5"/>
      <c r="RTL66" s="5"/>
      <c r="RTM66" s="5"/>
      <c r="RTN66" s="5"/>
      <c r="RTO66" s="5"/>
      <c r="RTP66" s="5"/>
      <c r="RTQ66" s="5"/>
      <c r="RTR66" s="5"/>
      <c r="RTS66" s="5"/>
      <c r="RTT66" s="5"/>
      <c r="RTU66" s="5"/>
      <c r="RTV66" s="5"/>
      <c r="RTW66" s="5"/>
      <c r="RTX66" s="5"/>
      <c r="RTY66" s="5"/>
      <c r="RTZ66" s="5"/>
      <c r="RUA66" s="5"/>
      <c r="RUB66" s="5"/>
      <c r="RUC66" s="5"/>
      <c r="RUD66" s="5"/>
      <c r="RUE66" s="5"/>
      <c r="RUF66" s="5"/>
      <c r="RUG66" s="5"/>
      <c r="RUH66" s="5"/>
      <c r="RUI66" s="5"/>
      <c r="RUJ66" s="5"/>
      <c r="RUK66" s="5"/>
      <c r="RUL66" s="5"/>
      <c r="RUM66" s="5"/>
      <c r="RUN66" s="5"/>
      <c r="RUO66" s="5"/>
      <c r="RUP66" s="5"/>
      <c r="RUQ66" s="5"/>
      <c r="RUR66" s="5"/>
      <c r="RUS66" s="5"/>
      <c r="RUT66" s="5"/>
      <c r="RUU66" s="5"/>
      <c r="RUV66" s="5"/>
      <c r="RUW66" s="5"/>
      <c r="RUX66" s="5"/>
      <c r="RUY66" s="5"/>
      <c r="RUZ66" s="5"/>
      <c r="RVA66" s="5"/>
      <c r="RVB66" s="5"/>
      <c r="RVC66" s="5"/>
      <c r="RVD66" s="5"/>
      <c r="RVE66" s="5"/>
      <c r="RVF66" s="5"/>
      <c r="RVG66" s="5"/>
      <c r="RVH66" s="5"/>
      <c r="RVI66" s="5"/>
      <c r="RVJ66" s="5"/>
      <c r="RVK66" s="5"/>
      <c r="RVL66" s="5"/>
      <c r="RVM66" s="5"/>
      <c r="RVN66" s="5"/>
      <c r="RVO66" s="5"/>
      <c r="RVP66" s="5"/>
      <c r="RVQ66" s="5"/>
      <c r="RVR66" s="5"/>
      <c r="RVS66" s="5"/>
      <c r="RVT66" s="5"/>
      <c r="RVU66" s="5"/>
      <c r="RVV66" s="5"/>
      <c r="RVW66" s="5"/>
      <c r="RVX66" s="5"/>
      <c r="RVY66" s="5"/>
      <c r="RVZ66" s="5"/>
      <c r="RWA66" s="5"/>
      <c r="RWB66" s="5"/>
      <c r="RWC66" s="5"/>
      <c r="RWD66" s="5"/>
      <c r="RWE66" s="5"/>
      <c r="RWF66" s="5"/>
      <c r="RWG66" s="5"/>
      <c r="RWH66" s="5"/>
      <c r="RWI66" s="5"/>
      <c r="RWJ66" s="5"/>
      <c r="RWK66" s="5"/>
      <c r="RWL66" s="5"/>
      <c r="RWM66" s="5"/>
      <c r="RWN66" s="5"/>
      <c r="RWO66" s="5"/>
      <c r="RWP66" s="5"/>
      <c r="RWQ66" s="5"/>
      <c r="RWR66" s="5"/>
      <c r="RWS66" s="5"/>
      <c r="RWT66" s="5"/>
      <c r="RWU66" s="5"/>
      <c r="RWV66" s="5"/>
      <c r="RWW66" s="5"/>
      <c r="RWX66" s="5"/>
      <c r="RWY66" s="5"/>
      <c r="RWZ66" s="5"/>
      <c r="RXA66" s="5"/>
      <c r="RXB66" s="5"/>
      <c r="RXC66" s="5"/>
      <c r="RXD66" s="5"/>
      <c r="RXE66" s="5"/>
      <c r="RXF66" s="5"/>
      <c r="RXG66" s="5"/>
      <c r="RXH66" s="5"/>
      <c r="RXI66" s="5"/>
      <c r="RXJ66" s="5"/>
      <c r="RXK66" s="5"/>
      <c r="RXL66" s="5"/>
      <c r="RXM66" s="5"/>
      <c r="RXN66" s="5"/>
      <c r="RXO66" s="5"/>
      <c r="RXP66" s="5"/>
      <c r="RXQ66" s="5"/>
      <c r="RXR66" s="5"/>
      <c r="RXS66" s="5"/>
      <c r="RXT66" s="5"/>
      <c r="RXU66" s="5"/>
      <c r="RXV66" s="5"/>
      <c r="RXW66" s="5"/>
      <c r="RXX66" s="5"/>
      <c r="RXY66" s="5"/>
      <c r="RXZ66" s="5"/>
      <c r="RYA66" s="5"/>
      <c r="RYB66" s="5"/>
      <c r="RYC66" s="5"/>
      <c r="RYD66" s="5"/>
      <c r="RYE66" s="5"/>
      <c r="RYF66" s="5"/>
      <c r="RYG66" s="5"/>
      <c r="RYH66" s="5"/>
      <c r="RYI66" s="5"/>
      <c r="RYJ66" s="5"/>
      <c r="RYK66" s="5"/>
      <c r="RYL66" s="5"/>
      <c r="RYM66" s="5"/>
      <c r="RYN66" s="5"/>
      <c r="RYO66" s="5"/>
      <c r="RYP66" s="5"/>
      <c r="RYQ66" s="5"/>
      <c r="RYR66" s="5"/>
      <c r="RYS66" s="5"/>
      <c r="RYT66" s="5"/>
      <c r="RYU66" s="5"/>
      <c r="RYV66" s="5"/>
      <c r="RYW66" s="5"/>
      <c r="RYX66" s="5"/>
      <c r="RYY66" s="5"/>
      <c r="RYZ66" s="5"/>
      <c r="RZA66" s="5"/>
      <c r="RZB66" s="5"/>
      <c r="RZC66" s="5"/>
      <c r="RZD66" s="5"/>
      <c r="RZE66" s="5"/>
      <c r="RZF66" s="5"/>
      <c r="RZG66" s="5"/>
      <c r="RZH66" s="5"/>
      <c r="RZI66" s="5"/>
      <c r="RZJ66" s="5"/>
      <c r="RZK66" s="5"/>
      <c r="RZL66" s="5"/>
      <c r="RZM66" s="5"/>
      <c r="RZN66" s="5"/>
      <c r="RZO66" s="5"/>
      <c r="RZP66" s="5"/>
      <c r="RZQ66" s="5"/>
      <c r="RZR66" s="5"/>
      <c r="RZS66" s="5"/>
      <c r="RZT66" s="5"/>
      <c r="RZU66" s="5"/>
      <c r="RZV66" s="5"/>
      <c r="RZW66" s="5"/>
      <c r="RZX66" s="5"/>
      <c r="RZY66" s="5"/>
      <c r="RZZ66" s="5"/>
      <c r="SAA66" s="5"/>
      <c r="SAB66" s="5"/>
      <c r="SAC66" s="5"/>
      <c r="SAD66" s="5"/>
      <c r="SAE66" s="5"/>
      <c r="SAF66" s="5"/>
      <c r="SAG66" s="5"/>
      <c r="SAH66" s="5"/>
      <c r="SAI66" s="5"/>
      <c r="SAJ66" s="5"/>
      <c r="SAK66" s="5"/>
      <c r="SAL66" s="5"/>
      <c r="SAM66" s="5"/>
      <c r="SAN66" s="5"/>
      <c r="SAO66" s="5"/>
      <c r="SAP66" s="5"/>
      <c r="SAQ66" s="5"/>
      <c r="SAR66" s="5"/>
      <c r="SAS66" s="5"/>
      <c r="SAT66" s="5"/>
      <c r="SAU66" s="5"/>
      <c r="SAV66" s="5"/>
      <c r="SAW66" s="5"/>
      <c r="SAX66" s="5"/>
      <c r="SAY66" s="5"/>
      <c r="SAZ66" s="5"/>
      <c r="SBA66" s="5"/>
      <c r="SBB66" s="5"/>
      <c r="SBC66" s="5"/>
      <c r="SBD66" s="5"/>
      <c r="SBE66" s="5"/>
      <c r="SBF66" s="5"/>
      <c r="SBG66" s="5"/>
      <c r="SBH66" s="5"/>
      <c r="SBI66" s="5"/>
      <c r="SBJ66" s="5"/>
      <c r="SBK66" s="5"/>
      <c r="SBL66" s="5"/>
      <c r="SBM66" s="5"/>
      <c r="SBN66" s="5"/>
      <c r="SBO66" s="5"/>
      <c r="SBP66" s="5"/>
      <c r="SBQ66" s="5"/>
      <c r="SBR66" s="5"/>
      <c r="SBS66" s="5"/>
      <c r="SBT66" s="5"/>
      <c r="SBU66" s="5"/>
      <c r="SBV66" s="5"/>
      <c r="SBW66" s="5"/>
      <c r="SBX66" s="5"/>
      <c r="SBY66" s="5"/>
      <c r="SBZ66" s="5"/>
      <c r="SCA66" s="5"/>
      <c r="SCB66" s="5"/>
      <c r="SCC66" s="5"/>
      <c r="SCD66" s="5"/>
      <c r="SCE66" s="5"/>
      <c r="SCF66" s="5"/>
      <c r="SCG66" s="5"/>
      <c r="SCH66" s="5"/>
      <c r="SCI66" s="5"/>
      <c r="SCJ66" s="5"/>
      <c r="SCK66" s="5"/>
      <c r="SCL66" s="5"/>
      <c r="SCM66" s="5"/>
      <c r="SCN66" s="5"/>
      <c r="SCO66" s="5"/>
      <c r="SCP66" s="5"/>
      <c r="SCQ66" s="5"/>
      <c r="SCR66" s="5"/>
      <c r="SCS66" s="5"/>
      <c r="SCT66" s="5"/>
      <c r="SCU66" s="5"/>
      <c r="SCV66" s="5"/>
      <c r="SCW66" s="5"/>
      <c r="SCX66" s="5"/>
      <c r="SCY66" s="5"/>
      <c r="SCZ66" s="5"/>
      <c r="SDA66" s="5"/>
      <c r="SDB66" s="5"/>
      <c r="SDC66" s="5"/>
      <c r="SDD66" s="5"/>
      <c r="SDE66" s="5"/>
      <c r="SDF66" s="5"/>
      <c r="SDG66" s="5"/>
      <c r="SDH66" s="5"/>
      <c r="SDI66" s="5"/>
      <c r="SDJ66" s="5"/>
      <c r="SDK66" s="5"/>
      <c r="SDL66" s="5"/>
      <c r="SDM66" s="5"/>
      <c r="SDN66" s="5"/>
      <c r="SDO66" s="5"/>
      <c r="SDP66" s="5"/>
      <c r="SDQ66" s="5"/>
      <c r="SDR66" s="5"/>
      <c r="SDS66" s="5"/>
      <c r="SDT66" s="5"/>
      <c r="SDU66" s="5"/>
      <c r="SDV66" s="5"/>
      <c r="SDW66" s="5"/>
      <c r="SDX66" s="5"/>
      <c r="SDY66" s="5"/>
      <c r="SDZ66" s="5"/>
      <c r="SEA66" s="5"/>
      <c r="SEB66" s="5"/>
      <c r="SEC66" s="5"/>
      <c r="SED66" s="5"/>
      <c r="SEE66" s="5"/>
      <c r="SEF66" s="5"/>
      <c r="SEG66" s="5"/>
      <c r="SEH66" s="5"/>
      <c r="SEI66" s="5"/>
      <c r="SEJ66" s="5"/>
      <c r="SEK66" s="5"/>
      <c r="SEL66" s="5"/>
      <c r="SEM66" s="5"/>
      <c r="SEN66" s="5"/>
      <c r="SEO66" s="5"/>
      <c r="SEP66" s="5"/>
      <c r="SEQ66" s="5"/>
      <c r="SER66" s="5"/>
      <c r="SES66" s="5"/>
      <c r="SET66" s="5"/>
      <c r="SEU66" s="5"/>
      <c r="SEV66" s="5"/>
      <c r="SEW66" s="5"/>
      <c r="SEX66" s="5"/>
      <c r="SEY66" s="5"/>
      <c r="SEZ66" s="5"/>
      <c r="SFA66" s="5"/>
      <c r="SFB66" s="5"/>
      <c r="SFC66" s="5"/>
      <c r="SFD66" s="5"/>
      <c r="SFE66" s="5"/>
      <c r="SFF66" s="5"/>
      <c r="SFG66" s="5"/>
      <c r="SFH66" s="5"/>
      <c r="SFI66" s="5"/>
      <c r="SFJ66" s="5"/>
      <c r="SFK66" s="5"/>
      <c r="SFL66" s="5"/>
      <c r="SFM66" s="5"/>
      <c r="SFN66" s="5"/>
      <c r="SFO66" s="5"/>
      <c r="SFP66" s="5"/>
      <c r="SFQ66" s="5"/>
      <c r="SFR66" s="5"/>
      <c r="SFS66" s="5"/>
      <c r="SFT66" s="5"/>
      <c r="SFU66" s="5"/>
      <c r="SFV66" s="5"/>
      <c r="SFW66" s="5"/>
      <c r="SFX66" s="5"/>
      <c r="SFY66" s="5"/>
      <c r="SFZ66" s="5"/>
      <c r="SGA66" s="5"/>
      <c r="SGB66" s="5"/>
      <c r="SGC66" s="5"/>
      <c r="SGD66" s="5"/>
      <c r="SGE66" s="5"/>
      <c r="SGF66" s="5"/>
      <c r="SGG66" s="5"/>
      <c r="SGH66" s="5"/>
      <c r="SGI66" s="5"/>
      <c r="SGJ66" s="5"/>
      <c r="SGK66" s="5"/>
      <c r="SGL66" s="5"/>
      <c r="SGM66" s="5"/>
      <c r="SGN66" s="5"/>
      <c r="SGO66" s="5"/>
      <c r="SGP66" s="5"/>
      <c r="SGQ66" s="5"/>
      <c r="SGR66" s="5"/>
      <c r="SGS66" s="5"/>
      <c r="SGT66" s="5"/>
      <c r="SGU66" s="5"/>
      <c r="SGV66" s="5"/>
      <c r="SGW66" s="5"/>
      <c r="SGX66" s="5"/>
      <c r="SGY66" s="5"/>
      <c r="SGZ66" s="5"/>
      <c r="SHA66" s="5"/>
      <c r="SHB66" s="5"/>
      <c r="SHC66" s="5"/>
      <c r="SHD66" s="5"/>
      <c r="SHE66" s="5"/>
      <c r="SHF66" s="5"/>
      <c r="SHG66" s="5"/>
      <c r="SHH66" s="5"/>
      <c r="SHI66" s="5"/>
      <c r="SHJ66" s="5"/>
      <c r="SHK66" s="5"/>
      <c r="SHL66" s="5"/>
      <c r="SHM66" s="5"/>
      <c r="SHN66" s="5"/>
      <c r="SHO66" s="5"/>
      <c r="SHP66" s="5"/>
      <c r="SHQ66" s="5"/>
      <c r="SHR66" s="5"/>
      <c r="SHS66" s="5"/>
      <c r="SHT66" s="5"/>
      <c r="SHU66" s="5"/>
      <c r="SHV66" s="5"/>
      <c r="SHW66" s="5"/>
      <c r="SHX66" s="5"/>
      <c r="SHY66" s="5"/>
      <c r="SHZ66" s="5"/>
      <c r="SIA66" s="5"/>
      <c r="SIB66" s="5"/>
      <c r="SIC66" s="5"/>
      <c r="SID66" s="5"/>
      <c r="SIE66" s="5"/>
      <c r="SIF66" s="5"/>
      <c r="SIG66" s="5"/>
      <c r="SIH66" s="5"/>
      <c r="SII66" s="5"/>
      <c r="SIJ66" s="5"/>
      <c r="SIK66" s="5"/>
      <c r="SIL66" s="5"/>
      <c r="SIM66" s="5"/>
      <c r="SIN66" s="5"/>
      <c r="SIO66" s="5"/>
      <c r="SIP66" s="5"/>
      <c r="SIQ66" s="5"/>
      <c r="SIR66" s="5"/>
      <c r="SIS66" s="5"/>
      <c r="SIT66" s="5"/>
      <c r="SIU66" s="5"/>
      <c r="SIV66" s="5"/>
      <c r="SIW66" s="5"/>
      <c r="SIX66" s="5"/>
      <c r="SIY66" s="5"/>
      <c r="SIZ66" s="5"/>
      <c r="SJA66" s="5"/>
      <c r="SJB66" s="5"/>
      <c r="SJC66" s="5"/>
      <c r="SJD66" s="5"/>
      <c r="SJE66" s="5"/>
      <c r="SJF66" s="5"/>
      <c r="SJG66" s="5"/>
      <c r="SJH66" s="5"/>
      <c r="SJI66" s="5"/>
      <c r="SJJ66" s="5"/>
      <c r="SJK66" s="5"/>
      <c r="SJL66" s="5"/>
      <c r="SJM66" s="5"/>
      <c r="SJN66" s="5"/>
      <c r="SJO66" s="5"/>
      <c r="SJP66" s="5"/>
      <c r="SJQ66" s="5"/>
      <c r="SJR66" s="5"/>
      <c r="SJS66" s="5"/>
      <c r="SJT66" s="5"/>
      <c r="SJU66" s="5"/>
      <c r="SJV66" s="5"/>
      <c r="SJW66" s="5"/>
      <c r="SJX66" s="5"/>
      <c r="SJY66" s="5"/>
      <c r="SJZ66" s="5"/>
      <c r="SKA66" s="5"/>
      <c r="SKB66" s="5"/>
      <c r="SKC66" s="5"/>
      <c r="SKD66" s="5"/>
      <c r="SKE66" s="5"/>
      <c r="SKF66" s="5"/>
      <c r="SKG66" s="5"/>
      <c r="SKH66" s="5"/>
      <c r="SKI66" s="5"/>
      <c r="SKJ66" s="5"/>
      <c r="SKK66" s="5"/>
      <c r="SKL66" s="5"/>
      <c r="SKM66" s="5"/>
      <c r="SKN66" s="5"/>
      <c r="SKO66" s="5"/>
      <c r="SKP66" s="5"/>
      <c r="SKQ66" s="5"/>
      <c r="SKR66" s="5"/>
      <c r="SKS66" s="5"/>
      <c r="SKT66" s="5"/>
      <c r="SKU66" s="5"/>
      <c r="SKV66" s="5"/>
      <c r="SKW66" s="5"/>
      <c r="SKX66" s="5"/>
      <c r="SKY66" s="5"/>
      <c r="SKZ66" s="5"/>
      <c r="SLA66" s="5"/>
      <c r="SLB66" s="5"/>
      <c r="SLC66" s="5"/>
      <c r="SLD66" s="5"/>
      <c r="SLE66" s="5"/>
      <c r="SLF66" s="5"/>
      <c r="SLG66" s="5"/>
      <c r="SLH66" s="5"/>
      <c r="SLI66" s="5"/>
      <c r="SLJ66" s="5"/>
      <c r="SLK66" s="5"/>
      <c r="SLL66" s="5"/>
      <c r="SLM66" s="5"/>
      <c r="SLN66" s="5"/>
      <c r="SLO66" s="5"/>
      <c r="SLP66" s="5"/>
      <c r="SLQ66" s="5"/>
      <c r="SLR66" s="5"/>
      <c r="SLS66" s="5"/>
      <c r="SLT66" s="5"/>
      <c r="SLU66" s="5"/>
      <c r="SLV66" s="5"/>
      <c r="SLW66" s="5"/>
      <c r="SLX66" s="5"/>
      <c r="SLY66" s="5"/>
      <c r="SLZ66" s="5"/>
      <c r="SMA66" s="5"/>
      <c r="SMB66" s="5"/>
      <c r="SMC66" s="5"/>
      <c r="SMD66" s="5"/>
      <c r="SME66" s="5"/>
      <c r="SMF66" s="5"/>
      <c r="SMG66" s="5"/>
      <c r="SMH66" s="5"/>
      <c r="SMI66" s="5"/>
      <c r="SMJ66" s="5"/>
      <c r="SMK66" s="5"/>
      <c r="SML66" s="5"/>
      <c r="SMM66" s="5"/>
      <c r="SMN66" s="5"/>
      <c r="SMO66" s="5"/>
      <c r="SMP66" s="5"/>
      <c r="SMQ66" s="5"/>
      <c r="SMR66" s="5"/>
      <c r="SMS66" s="5"/>
      <c r="SMT66" s="5"/>
      <c r="SMU66" s="5"/>
      <c r="SMV66" s="5"/>
      <c r="SMW66" s="5"/>
      <c r="SMX66" s="5"/>
      <c r="SMY66" s="5"/>
      <c r="SMZ66" s="5"/>
      <c r="SNA66" s="5"/>
      <c r="SNB66" s="5"/>
      <c r="SNC66" s="5"/>
      <c r="SND66" s="5"/>
      <c r="SNE66" s="5"/>
      <c r="SNF66" s="5"/>
      <c r="SNG66" s="5"/>
      <c r="SNH66" s="5"/>
      <c r="SNI66" s="5"/>
      <c r="SNJ66" s="5"/>
      <c r="SNK66" s="5"/>
      <c r="SNL66" s="5"/>
      <c r="SNM66" s="5"/>
      <c r="SNN66" s="5"/>
      <c r="SNO66" s="5"/>
      <c r="SNP66" s="5"/>
      <c r="SNQ66" s="5"/>
      <c r="SNR66" s="5"/>
      <c r="SNS66" s="5"/>
      <c r="SNT66" s="5"/>
      <c r="SNU66" s="5"/>
      <c r="SNV66" s="5"/>
      <c r="SNW66" s="5"/>
      <c r="SNX66" s="5"/>
      <c r="SNY66" s="5"/>
      <c r="SNZ66" s="5"/>
      <c r="SOA66" s="5"/>
      <c r="SOB66" s="5"/>
      <c r="SOC66" s="5"/>
      <c r="SOD66" s="5"/>
      <c r="SOE66" s="5"/>
      <c r="SOF66" s="5"/>
      <c r="SOG66" s="5"/>
      <c r="SOH66" s="5"/>
      <c r="SOI66" s="5"/>
      <c r="SOJ66" s="5"/>
      <c r="SOK66" s="5"/>
      <c r="SOL66" s="5"/>
      <c r="SOM66" s="5"/>
      <c r="SON66" s="5"/>
      <c r="SOO66" s="5"/>
      <c r="SOP66" s="5"/>
      <c r="SOQ66" s="5"/>
      <c r="SOR66" s="5"/>
      <c r="SOS66" s="5"/>
      <c r="SOT66" s="5"/>
      <c r="SOU66" s="5"/>
      <c r="SOV66" s="5"/>
      <c r="SOW66" s="5"/>
      <c r="SOX66" s="5"/>
      <c r="SOY66" s="5"/>
      <c r="SOZ66" s="5"/>
      <c r="SPA66" s="5"/>
      <c r="SPB66" s="5"/>
      <c r="SPC66" s="5"/>
      <c r="SPD66" s="5"/>
      <c r="SPE66" s="5"/>
      <c r="SPF66" s="5"/>
      <c r="SPG66" s="5"/>
      <c r="SPH66" s="5"/>
      <c r="SPI66" s="5"/>
      <c r="SPJ66" s="5"/>
      <c r="SPK66" s="5"/>
      <c r="SPL66" s="5"/>
      <c r="SPM66" s="5"/>
      <c r="SPN66" s="5"/>
      <c r="SPO66" s="5"/>
      <c r="SPP66" s="5"/>
      <c r="SPQ66" s="5"/>
      <c r="SPR66" s="5"/>
      <c r="SPS66" s="5"/>
      <c r="SPT66" s="5"/>
      <c r="SPU66" s="5"/>
      <c r="SPV66" s="5"/>
      <c r="SPW66" s="5"/>
      <c r="SPX66" s="5"/>
      <c r="SPY66" s="5"/>
      <c r="SPZ66" s="5"/>
      <c r="SQA66" s="5"/>
      <c r="SQB66" s="5"/>
      <c r="SQC66" s="5"/>
      <c r="SQD66" s="5"/>
      <c r="SQE66" s="5"/>
      <c r="SQF66" s="5"/>
      <c r="SQG66" s="5"/>
      <c r="SQH66" s="5"/>
      <c r="SQI66" s="5"/>
      <c r="SQJ66" s="5"/>
      <c r="SQK66" s="5"/>
      <c r="SQL66" s="5"/>
      <c r="SQM66" s="5"/>
      <c r="SQN66" s="5"/>
      <c r="SQO66" s="5"/>
      <c r="SQP66" s="5"/>
      <c r="SQQ66" s="5"/>
      <c r="SQR66" s="5"/>
      <c r="SQS66" s="5"/>
      <c r="SQT66" s="5"/>
      <c r="SQU66" s="5"/>
      <c r="SQV66" s="5"/>
      <c r="SQW66" s="5"/>
      <c r="SQX66" s="5"/>
      <c r="SQY66" s="5"/>
      <c r="SQZ66" s="5"/>
      <c r="SRA66" s="5"/>
      <c r="SRB66" s="5"/>
      <c r="SRC66" s="5"/>
      <c r="SRD66" s="5"/>
      <c r="SRE66" s="5"/>
      <c r="SRF66" s="5"/>
      <c r="SRG66" s="5"/>
      <c r="SRH66" s="5"/>
      <c r="SRI66" s="5"/>
      <c r="SRJ66" s="5"/>
      <c r="SRK66" s="5"/>
      <c r="SRL66" s="5"/>
      <c r="SRM66" s="5"/>
      <c r="SRN66" s="5"/>
      <c r="SRO66" s="5"/>
      <c r="SRP66" s="5"/>
      <c r="SRQ66" s="5"/>
      <c r="SRR66" s="5"/>
      <c r="SRS66" s="5"/>
      <c r="SRT66" s="5"/>
      <c r="SRU66" s="5"/>
      <c r="SRV66" s="5"/>
      <c r="SRW66" s="5"/>
      <c r="SRX66" s="5"/>
      <c r="SRY66" s="5"/>
      <c r="SRZ66" s="5"/>
      <c r="SSA66" s="5"/>
      <c r="SSB66" s="5"/>
      <c r="SSC66" s="5"/>
      <c r="SSD66" s="5"/>
      <c r="SSE66" s="5"/>
      <c r="SSF66" s="5"/>
      <c r="SSG66" s="5"/>
      <c r="SSH66" s="5"/>
      <c r="SSI66" s="5"/>
      <c r="SSJ66" s="5"/>
      <c r="SSK66" s="5"/>
      <c r="SSL66" s="5"/>
      <c r="SSM66" s="5"/>
      <c r="SSN66" s="5"/>
      <c r="SSO66" s="5"/>
      <c r="SSP66" s="5"/>
      <c r="SSQ66" s="5"/>
      <c r="SSR66" s="5"/>
      <c r="SSS66" s="5"/>
      <c r="SST66" s="5"/>
      <c r="SSU66" s="5"/>
      <c r="SSV66" s="5"/>
      <c r="SSW66" s="5"/>
      <c r="SSX66" s="5"/>
      <c r="SSY66" s="5"/>
      <c r="SSZ66" s="5"/>
      <c r="STA66" s="5"/>
      <c r="STB66" s="5"/>
      <c r="STC66" s="5"/>
      <c r="STD66" s="5"/>
      <c r="STE66" s="5"/>
      <c r="STF66" s="5"/>
      <c r="STG66" s="5"/>
      <c r="STH66" s="5"/>
      <c r="STI66" s="5"/>
      <c r="STJ66" s="5"/>
      <c r="STK66" s="5"/>
      <c r="STL66" s="5"/>
      <c r="STM66" s="5"/>
      <c r="STN66" s="5"/>
      <c r="STO66" s="5"/>
      <c r="STP66" s="5"/>
      <c r="STQ66" s="5"/>
      <c r="STR66" s="5"/>
      <c r="STS66" s="5"/>
      <c r="STT66" s="5"/>
      <c r="STU66" s="5"/>
      <c r="STV66" s="5"/>
      <c r="STW66" s="5"/>
      <c r="STX66" s="5"/>
      <c r="STY66" s="5"/>
      <c r="STZ66" s="5"/>
      <c r="SUA66" s="5"/>
      <c r="SUB66" s="5"/>
      <c r="SUC66" s="5"/>
      <c r="SUD66" s="5"/>
      <c r="SUE66" s="5"/>
      <c r="SUF66" s="5"/>
      <c r="SUG66" s="5"/>
      <c r="SUH66" s="5"/>
      <c r="SUI66" s="5"/>
      <c r="SUJ66" s="5"/>
      <c r="SUK66" s="5"/>
      <c r="SUL66" s="5"/>
      <c r="SUM66" s="5"/>
      <c r="SUN66" s="5"/>
      <c r="SUO66" s="5"/>
      <c r="SUP66" s="5"/>
      <c r="SUQ66" s="5"/>
      <c r="SUR66" s="5"/>
      <c r="SUS66" s="5"/>
      <c r="SUT66" s="5"/>
      <c r="SUU66" s="5"/>
      <c r="SUV66" s="5"/>
      <c r="SUW66" s="5"/>
      <c r="SUX66" s="5"/>
      <c r="SUY66" s="5"/>
      <c r="SUZ66" s="5"/>
      <c r="SVA66" s="5"/>
      <c r="SVB66" s="5"/>
      <c r="SVC66" s="5"/>
      <c r="SVD66" s="5"/>
      <c r="SVE66" s="5"/>
      <c r="SVF66" s="5"/>
      <c r="SVG66" s="5"/>
      <c r="SVH66" s="5"/>
      <c r="SVI66" s="5"/>
      <c r="SVJ66" s="5"/>
      <c r="SVK66" s="5"/>
      <c r="SVL66" s="5"/>
      <c r="SVM66" s="5"/>
      <c r="SVN66" s="5"/>
      <c r="SVO66" s="5"/>
      <c r="SVP66" s="5"/>
      <c r="SVQ66" s="5"/>
      <c r="SVR66" s="5"/>
      <c r="SVS66" s="5"/>
      <c r="SVT66" s="5"/>
      <c r="SVU66" s="5"/>
      <c r="SVV66" s="5"/>
      <c r="SVW66" s="5"/>
      <c r="SVX66" s="5"/>
      <c r="SVY66" s="5"/>
      <c r="SVZ66" s="5"/>
      <c r="SWA66" s="5"/>
      <c r="SWB66" s="5"/>
      <c r="SWC66" s="5"/>
      <c r="SWD66" s="5"/>
      <c r="SWE66" s="5"/>
      <c r="SWF66" s="5"/>
      <c r="SWG66" s="5"/>
      <c r="SWH66" s="5"/>
      <c r="SWI66" s="5"/>
      <c r="SWJ66" s="5"/>
      <c r="SWK66" s="5"/>
      <c r="SWL66" s="5"/>
      <c r="SWM66" s="5"/>
      <c r="SWN66" s="5"/>
      <c r="SWO66" s="5"/>
      <c r="SWP66" s="5"/>
      <c r="SWQ66" s="5"/>
      <c r="SWR66" s="5"/>
      <c r="SWS66" s="5"/>
      <c r="SWT66" s="5"/>
      <c r="SWU66" s="5"/>
      <c r="SWV66" s="5"/>
      <c r="SWW66" s="5"/>
      <c r="SWX66" s="5"/>
      <c r="SWY66" s="5"/>
      <c r="SWZ66" s="5"/>
      <c r="SXA66" s="5"/>
      <c r="SXB66" s="5"/>
      <c r="SXC66" s="5"/>
      <c r="SXD66" s="5"/>
      <c r="SXE66" s="5"/>
      <c r="SXF66" s="5"/>
      <c r="SXG66" s="5"/>
      <c r="SXH66" s="5"/>
      <c r="SXI66" s="5"/>
      <c r="SXJ66" s="5"/>
      <c r="SXK66" s="5"/>
      <c r="SXL66" s="5"/>
      <c r="SXM66" s="5"/>
      <c r="SXN66" s="5"/>
      <c r="SXO66" s="5"/>
      <c r="SXP66" s="5"/>
      <c r="SXQ66" s="5"/>
      <c r="SXR66" s="5"/>
      <c r="SXS66" s="5"/>
      <c r="SXT66" s="5"/>
      <c r="SXU66" s="5"/>
      <c r="SXV66" s="5"/>
      <c r="SXW66" s="5"/>
      <c r="SXX66" s="5"/>
      <c r="SXY66" s="5"/>
      <c r="SXZ66" s="5"/>
      <c r="SYA66" s="5"/>
      <c r="SYB66" s="5"/>
      <c r="SYC66" s="5"/>
      <c r="SYD66" s="5"/>
      <c r="SYE66" s="5"/>
      <c r="SYF66" s="5"/>
      <c r="SYG66" s="5"/>
      <c r="SYH66" s="5"/>
      <c r="SYI66" s="5"/>
      <c r="SYJ66" s="5"/>
      <c r="SYK66" s="5"/>
      <c r="SYL66" s="5"/>
      <c r="SYM66" s="5"/>
      <c r="SYN66" s="5"/>
      <c r="SYO66" s="5"/>
      <c r="SYP66" s="5"/>
      <c r="SYQ66" s="5"/>
      <c r="SYR66" s="5"/>
      <c r="SYS66" s="5"/>
      <c r="SYT66" s="5"/>
      <c r="SYU66" s="5"/>
      <c r="SYV66" s="5"/>
      <c r="SYW66" s="5"/>
      <c r="SYX66" s="5"/>
      <c r="SYY66" s="5"/>
      <c r="SYZ66" s="5"/>
      <c r="SZA66" s="5"/>
      <c r="SZB66" s="5"/>
      <c r="SZC66" s="5"/>
      <c r="SZD66" s="5"/>
      <c r="SZE66" s="5"/>
      <c r="SZF66" s="5"/>
      <c r="SZG66" s="5"/>
      <c r="SZH66" s="5"/>
      <c r="SZI66" s="5"/>
      <c r="SZJ66" s="5"/>
      <c r="SZK66" s="5"/>
      <c r="SZL66" s="5"/>
      <c r="SZM66" s="5"/>
      <c r="SZN66" s="5"/>
      <c r="SZO66" s="5"/>
      <c r="SZP66" s="5"/>
      <c r="SZQ66" s="5"/>
      <c r="SZR66" s="5"/>
      <c r="SZS66" s="5"/>
      <c r="SZT66" s="5"/>
      <c r="SZU66" s="5"/>
      <c r="SZV66" s="5"/>
      <c r="SZW66" s="5"/>
      <c r="SZX66" s="5"/>
      <c r="SZY66" s="5"/>
      <c r="SZZ66" s="5"/>
      <c r="TAA66" s="5"/>
      <c r="TAB66" s="5"/>
      <c r="TAC66" s="5"/>
      <c r="TAD66" s="5"/>
      <c r="TAE66" s="5"/>
      <c r="TAF66" s="5"/>
      <c r="TAG66" s="5"/>
      <c r="TAH66" s="5"/>
      <c r="TAI66" s="5"/>
      <c r="TAJ66" s="5"/>
      <c r="TAK66" s="5"/>
      <c r="TAL66" s="5"/>
      <c r="TAM66" s="5"/>
      <c r="TAN66" s="5"/>
      <c r="TAO66" s="5"/>
      <c r="TAP66" s="5"/>
      <c r="TAQ66" s="5"/>
      <c r="TAR66" s="5"/>
      <c r="TAS66" s="5"/>
      <c r="TAT66" s="5"/>
      <c r="TAU66" s="5"/>
      <c r="TAV66" s="5"/>
      <c r="TAW66" s="5"/>
      <c r="TAX66" s="5"/>
      <c r="TAY66" s="5"/>
      <c r="TAZ66" s="5"/>
      <c r="TBA66" s="5"/>
      <c r="TBB66" s="5"/>
      <c r="TBC66" s="5"/>
      <c r="TBD66" s="5"/>
      <c r="TBE66" s="5"/>
      <c r="TBF66" s="5"/>
      <c r="TBG66" s="5"/>
      <c r="TBH66" s="5"/>
      <c r="TBI66" s="5"/>
      <c r="TBJ66" s="5"/>
      <c r="TBK66" s="5"/>
      <c r="TBL66" s="5"/>
      <c r="TBM66" s="5"/>
      <c r="TBN66" s="5"/>
      <c r="TBO66" s="5"/>
      <c r="TBP66" s="5"/>
      <c r="TBQ66" s="5"/>
      <c r="TBR66" s="5"/>
      <c r="TBS66" s="5"/>
      <c r="TBT66" s="5"/>
      <c r="TBU66" s="5"/>
      <c r="TBV66" s="5"/>
      <c r="TBW66" s="5"/>
      <c r="TBX66" s="5"/>
      <c r="TBY66" s="5"/>
      <c r="TBZ66" s="5"/>
      <c r="TCA66" s="5"/>
      <c r="TCB66" s="5"/>
      <c r="TCC66" s="5"/>
      <c r="TCD66" s="5"/>
      <c r="TCE66" s="5"/>
      <c r="TCF66" s="5"/>
      <c r="TCG66" s="5"/>
      <c r="TCH66" s="5"/>
      <c r="TCI66" s="5"/>
      <c r="TCJ66" s="5"/>
      <c r="TCK66" s="5"/>
      <c r="TCL66" s="5"/>
      <c r="TCM66" s="5"/>
      <c r="TCN66" s="5"/>
      <c r="TCO66" s="5"/>
      <c r="TCP66" s="5"/>
      <c r="TCQ66" s="5"/>
      <c r="TCR66" s="5"/>
      <c r="TCS66" s="5"/>
      <c r="TCT66" s="5"/>
      <c r="TCU66" s="5"/>
      <c r="TCV66" s="5"/>
      <c r="TCW66" s="5"/>
      <c r="TCX66" s="5"/>
      <c r="TCY66" s="5"/>
      <c r="TCZ66" s="5"/>
      <c r="TDA66" s="5"/>
      <c r="TDB66" s="5"/>
      <c r="TDC66" s="5"/>
      <c r="TDD66" s="5"/>
      <c r="TDE66" s="5"/>
      <c r="TDF66" s="5"/>
      <c r="TDG66" s="5"/>
      <c r="TDH66" s="5"/>
      <c r="TDI66" s="5"/>
      <c r="TDJ66" s="5"/>
      <c r="TDK66" s="5"/>
      <c r="TDL66" s="5"/>
      <c r="TDM66" s="5"/>
      <c r="TDN66" s="5"/>
      <c r="TDO66" s="5"/>
      <c r="TDP66" s="5"/>
      <c r="TDQ66" s="5"/>
      <c r="TDR66" s="5"/>
      <c r="TDS66" s="5"/>
      <c r="TDT66" s="5"/>
      <c r="TDU66" s="5"/>
      <c r="TDV66" s="5"/>
      <c r="TDW66" s="5"/>
      <c r="TDX66" s="5"/>
      <c r="TDY66" s="5"/>
      <c r="TDZ66" s="5"/>
      <c r="TEA66" s="5"/>
      <c r="TEB66" s="5"/>
      <c r="TEC66" s="5"/>
      <c r="TED66" s="5"/>
      <c r="TEE66" s="5"/>
      <c r="TEF66" s="5"/>
      <c r="TEG66" s="5"/>
      <c r="TEH66" s="5"/>
      <c r="TEI66" s="5"/>
      <c r="TEJ66" s="5"/>
      <c r="TEK66" s="5"/>
      <c r="TEL66" s="5"/>
      <c r="TEM66" s="5"/>
      <c r="TEN66" s="5"/>
      <c r="TEO66" s="5"/>
      <c r="TEP66" s="5"/>
      <c r="TEQ66" s="5"/>
      <c r="TER66" s="5"/>
      <c r="TES66" s="5"/>
      <c r="TET66" s="5"/>
      <c r="TEU66" s="5"/>
      <c r="TEV66" s="5"/>
      <c r="TEW66" s="5"/>
      <c r="TEX66" s="5"/>
      <c r="TEY66" s="5"/>
      <c r="TEZ66" s="5"/>
      <c r="TFA66" s="5"/>
      <c r="TFB66" s="5"/>
      <c r="TFC66" s="5"/>
      <c r="TFD66" s="5"/>
      <c r="TFE66" s="5"/>
      <c r="TFF66" s="5"/>
      <c r="TFG66" s="5"/>
      <c r="TFH66" s="5"/>
      <c r="TFI66" s="5"/>
      <c r="TFJ66" s="5"/>
      <c r="TFK66" s="5"/>
      <c r="TFL66" s="5"/>
      <c r="TFM66" s="5"/>
      <c r="TFN66" s="5"/>
      <c r="TFO66" s="5"/>
      <c r="TFP66" s="5"/>
      <c r="TFQ66" s="5"/>
      <c r="TFR66" s="5"/>
      <c r="TFS66" s="5"/>
      <c r="TFT66" s="5"/>
      <c r="TFU66" s="5"/>
      <c r="TFV66" s="5"/>
      <c r="TFW66" s="5"/>
      <c r="TFX66" s="5"/>
      <c r="TFY66" s="5"/>
      <c r="TFZ66" s="5"/>
      <c r="TGA66" s="5"/>
      <c r="TGB66" s="5"/>
      <c r="TGC66" s="5"/>
      <c r="TGD66" s="5"/>
      <c r="TGE66" s="5"/>
      <c r="TGF66" s="5"/>
      <c r="TGG66" s="5"/>
      <c r="TGH66" s="5"/>
      <c r="TGI66" s="5"/>
      <c r="TGJ66" s="5"/>
      <c r="TGK66" s="5"/>
      <c r="TGL66" s="5"/>
      <c r="TGM66" s="5"/>
      <c r="TGN66" s="5"/>
      <c r="TGO66" s="5"/>
      <c r="TGP66" s="5"/>
      <c r="TGQ66" s="5"/>
      <c r="TGR66" s="5"/>
      <c r="TGS66" s="5"/>
      <c r="TGT66" s="5"/>
      <c r="TGU66" s="5"/>
      <c r="TGV66" s="5"/>
      <c r="TGW66" s="5"/>
      <c r="TGX66" s="5"/>
      <c r="TGY66" s="5"/>
      <c r="TGZ66" s="5"/>
      <c r="THA66" s="5"/>
      <c r="THB66" s="5"/>
      <c r="THC66" s="5"/>
      <c r="THD66" s="5"/>
      <c r="THE66" s="5"/>
      <c r="THF66" s="5"/>
      <c r="THG66" s="5"/>
      <c r="THH66" s="5"/>
      <c r="THI66" s="5"/>
      <c r="THJ66" s="5"/>
      <c r="THK66" s="5"/>
      <c r="THL66" s="5"/>
      <c r="THM66" s="5"/>
      <c r="THN66" s="5"/>
      <c r="THO66" s="5"/>
      <c r="THP66" s="5"/>
      <c r="THQ66" s="5"/>
      <c r="THR66" s="5"/>
      <c r="THS66" s="5"/>
      <c r="THT66" s="5"/>
      <c r="THU66" s="5"/>
      <c r="THV66" s="5"/>
      <c r="THW66" s="5"/>
      <c r="THX66" s="5"/>
      <c r="THY66" s="5"/>
      <c r="THZ66" s="5"/>
      <c r="TIA66" s="5"/>
      <c r="TIB66" s="5"/>
      <c r="TIC66" s="5"/>
      <c r="TID66" s="5"/>
      <c r="TIE66" s="5"/>
      <c r="TIF66" s="5"/>
      <c r="TIG66" s="5"/>
      <c r="TIH66" s="5"/>
      <c r="TII66" s="5"/>
      <c r="TIJ66" s="5"/>
      <c r="TIK66" s="5"/>
      <c r="TIL66" s="5"/>
      <c r="TIM66" s="5"/>
      <c r="TIN66" s="5"/>
      <c r="TIO66" s="5"/>
      <c r="TIP66" s="5"/>
      <c r="TIQ66" s="5"/>
      <c r="TIR66" s="5"/>
      <c r="TIS66" s="5"/>
      <c r="TIT66" s="5"/>
      <c r="TIU66" s="5"/>
      <c r="TIV66" s="5"/>
      <c r="TIW66" s="5"/>
      <c r="TIX66" s="5"/>
      <c r="TIY66" s="5"/>
      <c r="TIZ66" s="5"/>
      <c r="TJA66" s="5"/>
      <c r="TJB66" s="5"/>
      <c r="TJC66" s="5"/>
      <c r="TJD66" s="5"/>
      <c r="TJE66" s="5"/>
      <c r="TJF66" s="5"/>
      <c r="TJG66" s="5"/>
      <c r="TJH66" s="5"/>
      <c r="TJI66" s="5"/>
      <c r="TJJ66" s="5"/>
      <c r="TJK66" s="5"/>
      <c r="TJL66" s="5"/>
      <c r="TJM66" s="5"/>
      <c r="TJN66" s="5"/>
      <c r="TJO66" s="5"/>
      <c r="TJP66" s="5"/>
      <c r="TJQ66" s="5"/>
      <c r="TJR66" s="5"/>
      <c r="TJS66" s="5"/>
      <c r="TJT66" s="5"/>
      <c r="TJU66" s="5"/>
      <c r="TJV66" s="5"/>
      <c r="TJW66" s="5"/>
      <c r="TJX66" s="5"/>
      <c r="TJY66" s="5"/>
      <c r="TJZ66" s="5"/>
      <c r="TKA66" s="5"/>
      <c r="TKB66" s="5"/>
      <c r="TKC66" s="5"/>
      <c r="TKD66" s="5"/>
      <c r="TKE66" s="5"/>
      <c r="TKF66" s="5"/>
      <c r="TKG66" s="5"/>
      <c r="TKH66" s="5"/>
      <c r="TKI66" s="5"/>
      <c r="TKJ66" s="5"/>
      <c r="TKK66" s="5"/>
      <c r="TKL66" s="5"/>
      <c r="TKM66" s="5"/>
      <c r="TKN66" s="5"/>
      <c r="TKO66" s="5"/>
      <c r="TKP66" s="5"/>
      <c r="TKQ66" s="5"/>
      <c r="TKR66" s="5"/>
      <c r="TKS66" s="5"/>
      <c r="TKT66" s="5"/>
      <c r="TKU66" s="5"/>
      <c r="TKV66" s="5"/>
      <c r="TKW66" s="5"/>
      <c r="TKX66" s="5"/>
      <c r="TKY66" s="5"/>
      <c r="TKZ66" s="5"/>
      <c r="TLA66" s="5"/>
      <c r="TLB66" s="5"/>
      <c r="TLC66" s="5"/>
      <c r="TLD66" s="5"/>
      <c r="TLE66" s="5"/>
      <c r="TLF66" s="5"/>
      <c r="TLG66" s="5"/>
      <c r="TLH66" s="5"/>
      <c r="TLI66" s="5"/>
      <c r="TLJ66" s="5"/>
      <c r="TLK66" s="5"/>
      <c r="TLL66" s="5"/>
      <c r="TLM66" s="5"/>
      <c r="TLN66" s="5"/>
      <c r="TLO66" s="5"/>
      <c r="TLP66" s="5"/>
      <c r="TLQ66" s="5"/>
      <c r="TLR66" s="5"/>
      <c r="TLS66" s="5"/>
      <c r="TLT66" s="5"/>
      <c r="TLU66" s="5"/>
      <c r="TLV66" s="5"/>
      <c r="TLW66" s="5"/>
      <c r="TLX66" s="5"/>
      <c r="TLY66" s="5"/>
      <c r="TLZ66" s="5"/>
      <c r="TMA66" s="5"/>
      <c r="TMB66" s="5"/>
      <c r="TMC66" s="5"/>
      <c r="TMD66" s="5"/>
      <c r="TME66" s="5"/>
      <c r="TMF66" s="5"/>
      <c r="TMG66" s="5"/>
      <c r="TMH66" s="5"/>
      <c r="TMI66" s="5"/>
      <c r="TMJ66" s="5"/>
      <c r="TMK66" s="5"/>
      <c r="TML66" s="5"/>
      <c r="TMM66" s="5"/>
      <c r="TMN66" s="5"/>
      <c r="TMO66" s="5"/>
      <c r="TMP66" s="5"/>
      <c r="TMQ66" s="5"/>
      <c r="TMR66" s="5"/>
      <c r="TMS66" s="5"/>
      <c r="TMT66" s="5"/>
      <c r="TMU66" s="5"/>
      <c r="TMV66" s="5"/>
      <c r="TMW66" s="5"/>
      <c r="TMX66" s="5"/>
      <c r="TMY66" s="5"/>
      <c r="TMZ66" s="5"/>
      <c r="TNA66" s="5"/>
      <c r="TNB66" s="5"/>
      <c r="TNC66" s="5"/>
      <c r="TND66" s="5"/>
      <c r="TNE66" s="5"/>
      <c r="TNF66" s="5"/>
      <c r="TNG66" s="5"/>
      <c r="TNH66" s="5"/>
      <c r="TNI66" s="5"/>
      <c r="TNJ66" s="5"/>
      <c r="TNK66" s="5"/>
      <c r="TNL66" s="5"/>
      <c r="TNM66" s="5"/>
      <c r="TNN66" s="5"/>
      <c r="TNO66" s="5"/>
      <c r="TNP66" s="5"/>
      <c r="TNQ66" s="5"/>
      <c r="TNR66" s="5"/>
      <c r="TNS66" s="5"/>
      <c r="TNT66" s="5"/>
      <c r="TNU66" s="5"/>
      <c r="TNV66" s="5"/>
      <c r="TNW66" s="5"/>
      <c r="TNX66" s="5"/>
      <c r="TNY66" s="5"/>
      <c r="TNZ66" s="5"/>
      <c r="TOA66" s="5"/>
      <c r="TOB66" s="5"/>
      <c r="TOC66" s="5"/>
      <c r="TOD66" s="5"/>
      <c r="TOE66" s="5"/>
      <c r="TOF66" s="5"/>
      <c r="TOG66" s="5"/>
      <c r="TOH66" s="5"/>
      <c r="TOI66" s="5"/>
      <c r="TOJ66" s="5"/>
      <c r="TOK66" s="5"/>
      <c r="TOL66" s="5"/>
      <c r="TOM66" s="5"/>
      <c r="TON66" s="5"/>
      <c r="TOO66" s="5"/>
      <c r="TOP66" s="5"/>
      <c r="TOQ66" s="5"/>
      <c r="TOR66" s="5"/>
      <c r="TOS66" s="5"/>
      <c r="TOT66" s="5"/>
      <c r="TOU66" s="5"/>
      <c r="TOV66" s="5"/>
      <c r="TOW66" s="5"/>
      <c r="TOX66" s="5"/>
      <c r="TOY66" s="5"/>
      <c r="TOZ66" s="5"/>
      <c r="TPA66" s="5"/>
      <c r="TPB66" s="5"/>
      <c r="TPC66" s="5"/>
      <c r="TPD66" s="5"/>
      <c r="TPE66" s="5"/>
      <c r="TPF66" s="5"/>
      <c r="TPG66" s="5"/>
      <c r="TPH66" s="5"/>
      <c r="TPI66" s="5"/>
      <c r="TPJ66" s="5"/>
      <c r="TPK66" s="5"/>
      <c r="TPL66" s="5"/>
      <c r="TPM66" s="5"/>
      <c r="TPN66" s="5"/>
      <c r="TPO66" s="5"/>
      <c r="TPP66" s="5"/>
      <c r="TPQ66" s="5"/>
      <c r="TPR66" s="5"/>
      <c r="TPS66" s="5"/>
      <c r="TPT66" s="5"/>
      <c r="TPU66" s="5"/>
      <c r="TPV66" s="5"/>
      <c r="TPW66" s="5"/>
      <c r="TPX66" s="5"/>
      <c r="TPY66" s="5"/>
      <c r="TPZ66" s="5"/>
      <c r="TQA66" s="5"/>
      <c r="TQB66" s="5"/>
      <c r="TQC66" s="5"/>
      <c r="TQD66" s="5"/>
      <c r="TQE66" s="5"/>
      <c r="TQF66" s="5"/>
      <c r="TQG66" s="5"/>
      <c r="TQH66" s="5"/>
      <c r="TQI66" s="5"/>
      <c r="TQJ66" s="5"/>
      <c r="TQK66" s="5"/>
      <c r="TQL66" s="5"/>
      <c r="TQM66" s="5"/>
      <c r="TQN66" s="5"/>
      <c r="TQO66" s="5"/>
      <c r="TQP66" s="5"/>
      <c r="TQQ66" s="5"/>
      <c r="TQR66" s="5"/>
      <c r="TQS66" s="5"/>
      <c r="TQT66" s="5"/>
      <c r="TQU66" s="5"/>
      <c r="TQV66" s="5"/>
      <c r="TQW66" s="5"/>
      <c r="TQX66" s="5"/>
      <c r="TQY66" s="5"/>
      <c r="TQZ66" s="5"/>
      <c r="TRA66" s="5"/>
      <c r="TRB66" s="5"/>
      <c r="TRC66" s="5"/>
      <c r="TRD66" s="5"/>
      <c r="TRE66" s="5"/>
      <c r="TRF66" s="5"/>
      <c r="TRG66" s="5"/>
      <c r="TRH66" s="5"/>
      <c r="TRI66" s="5"/>
      <c r="TRJ66" s="5"/>
      <c r="TRK66" s="5"/>
      <c r="TRL66" s="5"/>
      <c r="TRM66" s="5"/>
      <c r="TRN66" s="5"/>
      <c r="TRO66" s="5"/>
      <c r="TRP66" s="5"/>
      <c r="TRQ66" s="5"/>
      <c r="TRR66" s="5"/>
      <c r="TRS66" s="5"/>
      <c r="TRT66" s="5"/>
      <c r="TRU66" s="5"/>
      <c r="TRV66" s="5"/>
      <c r="TRW66" s="5"/>
      <c r="TRX66" s="5"/>
      <c r="TRY66" s="5"/>
      <c r="TRZ66" s="5"/>
      <c r="TSA66" s="5"/>
      <c r="TSB66" s="5"/>
      <c r="TSC66" s="5"/>
      <c r="TSD66" s="5"/>
      <c r="TSE66" s="5"/>
      <c r="TSF66" s="5"/>
      <c r="TSG66" s="5"/>
      <c r="TSH66" s="5"/>
      <c r="TSI66" s="5"/>
      <c r="TSJ66" s="5"/>
      <c r="TSK66" s="5"/>
      <c r="TSL66" s="5"/>
      <c r="TSM66" s="5"/>
      <c r="TSN66" s="5"/>
      <c r="TSO66" s="5"/>
      <c r="TSP66" s="5"/>
      <c r="TSQ66" s="5"/>
      <c r="TSR66" s="5"/>
      <c r="TSS66" s="5"/>
      <c r="TST66" s="5"/>
      <c r="TSU66" s="5"/>
      <c r="TSV66" s="5"/>
      <c r="TSW66" s="5"/>
      <c r="TSX66" s="5"/>
      <c r="TSY66" s="5"/>
      <c r="TSZ66" s="5"/>
      <c r="TTA66" s="5"/>
      <c r="TTB66" s="5"/>
      <c r="TTC66" s="5"/>
      <c r="TTD66" s="5"/>
      <c r="TTE66" s="5"/>
      <c r="TTF66" s="5"/>
      <c r="TTG66" s="5"/>
      <c r="TTH66" s="5"/>
      <c r="TTI66" s="5"/>
      <c r="TTJ66" s="5"/>
      <c r="TTK66" s="5"/>
      <c r="TTL66" s="5"/>
      <c r="TTM66" s="5"/>
      <c r="TTN66" s="5"/>
      <c r="TTO66" s="5"/>
      <c r="TTP66" s="5"/>
      <c r="TTQ66" s="5"/>
      <c r="TTR66" s="5"/>
      <c r="TTS66" s="5"/>
      <c r="TTT66" s="5"/>
      <c r="TTU66" s="5"/>
      <c r="TTV66" s="5"/>
      <c r="TTW66" s="5"/>
      <c r="TTX66" s="5"/>
      <c r="TTY66" s="5"/>
      <c r="TTZ66" s="5"/>
      <c r="TUA66" s="5"/>
      <c r="TUB66" s="5"/>
      <c r="TUC66" s="5"/>
      <c r="TUD66" s="5"/>
      <c r="TUE66" s="5"/>
      <c r="TUF66" s="5"/>
      <c r="TUG66" s="5"/>
      <c r="TUH66" s="5"/>
      <c r="TUI66" s="5"/>
      <c r="TUJ66" s="5"/>
      <c r="TUK66" s="5"/>
      <c r="TUL66" s="5"/>
      <c r="TUM66" s="5"/>
      <c r="TUN66" s="5"/>
      <c r="TUO66" s="5"/>
      <c r="TUP66" s="5"/>
      <c r="TUQ66" s="5"/>
      <c r="TUR66" s="5"/>
      <c r="TUS66" s="5"/>
      <c r="TUT66" s="5"/>
      <c r="TUU66" s="5"/>
      <c r="TUV66" s="5"/>
      <c r="TUW66" s="5"/>
      <c r="TUX66" s="5"/>
      <c r="TUY66" s="5"/>
      <c r="TUZ66" s="5"/>
      <c r="TVA66" s="5"/>
      <c r="TVB66" s="5"/>
      <c r="TVC66" s="5"/>
      <c r="TVD66" s="5"/>
      <c r="TVE66" s="5"/>
      <c r="TVF66" s="5"/>
      <c r="TVG66" s="5"/>
      <c r="TVH66" s="5"/>
      <c r="TVI66" s="5"/>
      <c r="TVJ66" s="5"/>
      <c r="TVK66" s="5"/>
      <c r="TVL66" s="5"/>
      <c r="TVM66" s="5"/>
      <c r="TVN66" s="5"/>
      <c r="TVO66" s="5"/>
      <c r="TVP66" s="5"/>
      <c r="TVQ66" s="5"/>
      <c r="TVR66" s="5"/>
      <c r="TVS66" s="5"/>
      <c r="TVT66" s="5"/>
      <c r="TVU66" s="5"/>
      <c r="TVV66" s="5"/>
      <c r="TVW66" s="5"/>
      <c r="TVX66" s="5"/>
      <c r="TVY66" s="5"/>
      <c r="TVZ66" s="5"/>
      <c r="TWA66" s="5"/>
      <c r="TWB66" s="5"/>
      <c r="TWC66" s="5"/>
      <c r="TWD66" s="5"/>
      <c r="TWE66" s="5"/>
      <c r="TWF66" s="5"/>
      <c r="TWG66" s="5"/>
      <c r="TWH66" s="5"/>
      <c r="TWI66" s="5"/>
      <c r="TWJ66" s="5"/>
      <c r="TWK66" s="5"/>
      <c r="TWL66" s="5"/>
      <c r="TWM66" s="5"/>
      <c r="TWN66" s="5"/>
      <c r="TWO66" s="5"/>
      <c r="TWP66" s="5"/>
      <c r="TWQ66" s="5"/>
      <c r="TWR66" s="5"/>
      <c r="TWS66" s="5"/>
      <c r="TWT66" s="5"/>
      <c r="TWU66" s="5"/>
      <c r="TWV66" s="5"/>
      <c r="TWW66" s="5"/>
      <c r="TWX66" s="5"/>
      <c r="TWY66" s="5"/>
      <c r="TWZ66" s="5"/>
      <c r="TXA66" s="5"/>
      <c r="TXB66" s="5"/>
      <c r="TXC66" s="5"/>
      <c r="TXD66" s="5"/>
      <c r="TXE66" s="5"/>
      <c r="TXF66" s="5"/>
      <c r="TXG66" s="5"/>
      <c r="TXH66" s="5"/>
      <c r="TXI66" s="5"/>
      <c r="TXJ66" s="5"/>
      <c r="TXK66" s="5"/>
      <c r="TXL66" s="5"/>
      <c r="TXM66" s="5"/>
      <c r="TXN66" s="5"/>
      <c r="TXO66" s="5"/>
      <c r="TXP66" s="5"/>
      <c r="TXQ66" s="5"/>
      <c r="TXR66" s="5"/>
      <c r="TXS66" s="5"/>
      <c r="TXT66" s="5"/>
      <c r="TXU66" s="5"/>
      <c r="TXV66" s="5"/>
      <c r="TXW66" s="5"/>
      <c r="TXX66" s="5"/>
      <c r="TXY66" s="5"/>
      <c r="TXZ66" s="5"/>
      <c r="TYA66" s="5"/>
      <c r="TYB66" s="5"/>
      <c r="TYC66" s="5"/>
      <c r="TYD66" s="5"/>
      <c r="TYE66" s="5"/>
      <c r="TYF66" s="5"/>
      <c r="TYG66" s="5"/>
      <c r="TYH66" s="5"/>
      <c r="TYI66" s="5"/>
      <c r="TYJ66" s="5"/>
      <c r="TYK66" s="5"/>
      <c r="TYL66" s="5"/>
      <c r="TYM66" s="5"/>
      <c r="TYN66" s="5"/>
      <c r="TYO66" s="5"/>
      <c r="TYP66" s="5"/>
      <c r="TYQ66" s="5"/>
      <c r="TYR66" s="5"/>
      <c r="TYS66" s="5"/>
      <c r="TYT66" s="5"/>
      <c r="TYU66" s="5"/>
      <c r="TYV66" s="5"/>
      <c r="TYW66" s="5"/>
      <c r="TYX66" s="5"/>
      <c r="TYY66" s="5"/>
      <c r="TYZ66" s="5"/>
      <c r="TZA66" s="5"/>
      <c r="TZB66" s="5"/>
      <c r="TZC66" s="5"/>
      <c r="TZD66" s="5"/>
      <c r="TZE66" s="5"/>
      <c r="TZF66" s="5"/>
      <c r="TZG66" s="5"/>
      <c r="TZH66" s="5"/>
      <c r="TZI66" s="5"/>
      <c r="TZJ66" s="5"/>
      <c r="TZK66" s="5"/>
      <c r="TZL66" s="5"/>
      <c r="TZM66" s="5"/>
      <c r="TZN66" s="5"/>
      <c r="TZO66" s="5"/>
      <c r="TZP66" s="5"/>
      <c r="TZQ66" s="5"/>
      <c r="TZR66" s="5"/>
      <c r="TZS66" s="5"/>
      <c r="TZT66" s="5"/>
      <c r="TZU66" s="5"/>
      <c r="TZV66" s="5"/>
      <c r="TZW66" s="5"/>
      <c r="TZX66" s="5"/>
      <c r="TZY66" s="5"/>
      <c r="TZZ66" s="5"/>
      <c r="UAA66" s="5"/>
      <c r="UAB66" s="5"/>
      <c r="UAC66" s="5"/>
      <c r="UAD66" s="5"/>
      <c r="UAE66" s="5"/>
      <c r="UAF66" s="5"/>
      <c r="UAG66" s="5"/>
      <c r="UAH66" s="5"/>
      <c r="UAI66" s="5"/>
      <c r="UAJ66" s="5"/>
      <c r="UAK66" s="5"/>
      <c r="UAL66" s="5"/>
      <c r="UAM66" s="5"/>
      <c r="UAN66" s="5"/>
      <c r="UAO66" s="5"/>
      <c r="UAP66" s="5"/>
      <c r="UAQ66" s="5"/>
      <c r="UAR66" s="5"/>
      <c r="UAS66" s="5"/>
      <c r="UAT66" s="5"/>
      <c r="UAU66" s="5"/>
      <c r="UAV66" s="5"/>
      <c r="UAW66" s="5"/>
      <c r="UAX66" s="5"/>
      <c r="UAY66" s="5"/>
      <c r="UAZ66" s="5"/>
      <c r="UBA66" s="5"/>
      <c r="UBB66" s="5"/>
      <c r="UBC66" s="5"/>
      <c r="UBD66" s="5"/>
      <c r="UBE66" s="5"/>
      <c r="UBF66" s="5"/>
      <c r="UBG66" s="5"/>
      <c r="UBH66" s="5"/>
      <c r="UBI66" s="5"/>
      <c r="UBJ66" s="5"/>
      <c r="UBK66" s="5"/>
      <c r="UBL66" s="5"/>
      <c r="UBM66" s="5"/>
      <c r="UBN66" s="5"/>
      <c r="UBO66" s="5"/>
      <c r="UBP66" s="5"/>
      <c r="UBQ66" s="5"/>
      <c r="UBR66" s="5"/>
      <c r="UBS66" s="5"/>
      <c r="UBT66" s="5"/>
      <c r="UBU66" s="5"/>
      <c r="UBV66" s="5"/>
      <c r="UBW66" s="5"/>
      <c r="UBX66" s="5"/>
      <c r="UBY66" s="5"/>
      <c r="UBZ66" s="5"/>
      <c r="UCA66" s="5"/>
      <c r="UCB66" s="5"/>
      <c r="UCC66" s="5"/>
      <c r="UCD66" s="5"/>
      <c r="UCE66" s="5"/>
      <c r="UCF66" s="5"/>
      <c r="UCG66" s="5"/>
      <c r="UCH66" s="5"/>
      <c r="UCI66" s="5"/>
      <c r="UCJ66" s="5"/>
      <c r="UCK66" s="5"/>
      <c r="UCL66" s="5"/>
      <c r="UCM66" s="5"/>
      <c r="UCN66" s="5"/>
      <c r="UCO66" s="5"/>
      <c r="UCP66" s="5"/>
      <c r="UCQ66" s="5"/>
      <c r="UCR66" s="5"/>
      <c r="UCS66" s="5"/>
      <c r="UCT66" s="5"/>
      <c r="UCU66" s="5"/>
      <c r="UCV66" s="5"/>
      <c r="UCW66" s="5"/>
      <c r="UCX66" s="5"/>
      <c r="UCY66" s="5"/>
      <c r="UCZ66" s="5"/>
      <c r="UDA66" s="5"/>
      <c r="UDB66" s="5"/>
      <c r="UDC66" s="5"/>
      <c r="UDD66" s="5"/>
      <c r="UDE66" s="5"/>
      <c r="UDF66" s="5"/>
      <c r="UDG66" s="5"/>
      <c r="UDH66" s="5"/>
      <c r="UDI66" s="5"/>
      <c r="UDJ66" s="5"/>
      <c r="UDK66" s="5"/>
      <c r="UDL66" s="5"/>
      <c r="UDM66" s="5"/>
      <c r="UDN66" s="5"/>
      <c r="UDO66" s="5"/>
      <c r="UDP66" s="5"/>
      <c r="UDQ66" s="5"/>
      <c r="UDR66" s="5"/>
      <c r="UDS66" s="5"/>
      <c r="UDT66" s="5"/>
      <c r="UDU66" s="5"/>
      <c r="UDV66" s="5"/>
      <c r="UDW66" s="5"/>
      <c r="UDX66" s="5"/>
      <c r="UDY66" s="5"/>
      <c r="UDZ66" s="5"/>
      <c r="UEA66" s="5"/>
      <c r="UEB66" s="5"/>
      <c r="UEC66" s="5"/>
      <c r="UED66" s="5"/>
      <c r="UEE66" s="5"/>
      <c r="UEF66" s="5"/>
      <c r="UEG66" s="5"/>
      <c r="UEH66" s="5"/>
      <c r="UEI66" s="5"/>
      <c r="UEJ66" s="5"/>
      <c r="UEK66" s="5"/>
      <c r="UEL66" s="5"/>
      <c r="UEM66" s="5"/>
      <c r="UEN66" s="5"/>
      <c r="UEO66" s="5"/>
      <c r="UEP66" s="5"/>
      <c r="UEQ66" s="5"/>
      <c r="UER66" s="5"/>
      <c r="UES66" s="5"/>
      <c r="UET66" s="5"/>
      <c r="UEU66" s="5"/>
      <c r="UEV66" s="5"/>
      <c r="UEW66" s="5"/>
      <c r="UEX66" s="5"/>
      <c r="UEY66" s="5"/>
      <c r="UEZ66" s="5"/>
      <c r="UFA66" s="5"/>
      <c r="UFB66" s="5"/>
      <c r="UFC66" s="5"/>
      <c r="UFD66" s="5"/>
      <c r="UFE66" s="5"/>
      <c r="UFF66" s="5"/>
      <c r="UFG66" s="5"/>
      <c r="UFH66" s="5"/>
      <c r="UFI66" s="5"/>
      <c r="UFJ66" s="5"/>
      <c r="UFK66" s="5"/>
      <c r="UFL66" s="5"/>
      <c r="UFM66" s="5"/>
      <c r="UFN66" s="5"/>
      <c r="UFO66" s="5"/>
      <c r="UFP66" s="5"/>
      <c r="UFQ66" s="5"/>
      <c r="UFR66" s="5"/>
      <c r="UFS66" s="5"/>
      <c r="UFT66" s="5"/>
      <c r="UFU66" s="5"/>
      <c r="UFV66" s="5"/>
      <c r="UFW66" s="5"/>
      <c r="UFX66" s="5"/>
      <c r="UFY66" s="5"/>
      <c r="UFZ66" s="5"/>
      <c r="UGA66" s="5"/>
      <c r="UGB66" s="5"/>
      <c r="UGC66" s="5"/>
      <c r="UGD66" s="5"/>
      <c r="UGE66" s="5"/>
      <c r="UGF66" s="5"/>
      <c r="UGG66" s="5"/>
      <c r="UGH66" s="5"/>
      <c r="UGI66" s="5"/>
      <c r="UGJ66" s="5"/>
      <c r="UGK66" s="5"/>
      <c r="UGL66" s="5"/>
      <c r="UGM66" s="5"/>
      <c r="UGN66" s="5"/>
      <c r="UGO66" s="5"/>
      <c r="UGP66" s="5"/>
      <c r="UGQ66" s="5"/>
      <c r="UGR66" s="5"/>
      <c r="UGS66" s="5"/>
      <c r="UGT66" s="5"/>
      <c r="UGU66" s="5"/>
      <c r="UGV66" s="5"/>
      <c r="UGW66" s="5"/>
      <c r="UGX66" s="5"/>
      <c r="UGY66" s="5"/>
      <c r="UGZ66" s="5"/>
      <c r="UHA66" s="5"/>
      <c r="UHB66" s="5"/>
      <c r="UHC66" s="5"/>
      <c r="UHD66" s="5"/>
      <c r="UHE66" s="5"/>
      <c r="UHF66" s="5"/>
      <c r="UHG66" s="5"/>
      <c r="UHH66" s="5"/>
      <c r="UHI66" s="5"/>
      <c r="UHJ66" s="5"/>
      <c r="UHK66" s="5"/>
      <c r="UHL66" s="5"/>
      <c r="UHM66" s="5"/>
      <c r="UHN66" s="5"/>
      <c r="UHO66" s="5"/>
      <c r="UHP66" s="5"/>
      <c r="UHQ66" s="5"/>
      <c r="UHR66" s="5"/>
      <c r="UHS66" s="5"/>
      <c r="UHT66" s="5"/>
      <c r="UHU66" s="5"/>
      <c r="UHV66" s="5"/>
      <c r="UHW66" s="5"/>
      <c r="UHX66" s="5"/>
      <c r="UHY66" s="5"/>
      <c r="UHZ66" s="5"/>
      <c r="UIA66" s="5"/>
      <c r="UIB66" s="5"/>
      <c r="UIC66" s="5"/>
      <c r="UID66" s="5"/>
      <c r="UIE66" s="5"/>
      <c r="UIF66" s="5"/>
      <c r="UIG66" s="5"/>
      <c r="UIH66" s="5"/>
      <c r="UII66" s="5"/>
      <c r="UIJ66" s="5"/>
      <c r="UIK66" s="5"/>
      <c r="UIL66" s="5"/>
      <c r="UIM66" s="5"/>
      <c r="UIN66" s="5"/>
      <c r="UIO66" s="5"/>
      <c r="UIP66" s="5"/>
      <c r="UIQ66" s="5"/>
      <c r="UIR66" s="5"/>
      <c r="UIS66" s="5"/>
      <c r="UIT66" s="5"/>
      <c r="UIU66" s="5"/>
      <c r="UIV66" s="5"/>
      <c r="UIW66" s="5"/>
      <c r="UIX66" s="5"/>
      <c r="UIY66" s="5"/>
      <c r="UIZ66" s="5"/>
      <c r="UJA66" s="5"/>
      <c r="UJB66" s="5"/>
      <c r="UJC66" s="5"/>
      <c r="UJD66" s="5"/>
      <c r="UJE66" s="5"/>
      <c r="UJF66" s="5"/>
      <c r="UJG66" s="5"/>
      <c r="UJH66" s="5"/>
      <c r="UJI66" s="5"/>
      <c r="UJJ66" s="5"/>
      <c r="UJK66" s="5"/>
      <c r="UJL66" s="5"/>
      <c r="UJM66" s="5"/>
      <c r="UJN66" s="5"/>
      <c r="UJO66" s="5"/>
      <c r="UJP66" s="5"/>
      <c r="UJQ66" s="5"/>
      <c r="UJR66" s="5"/>
      <c r="UJS66" s="5"/>
      <c r="UJT66" s="5"/>
      <c r="UJU66" s="5"/>
      <c r="UJV66" s="5"/>
      <c r="UJW66" s="5"/>
      <c r="UJX66" s="5"/>
      <c r="UJY66" s="5"/>
      <c r="UJZ66" s="5"/>
      <c r="UKA66" s="5"/>
      <c r="UKB66" s="5"/>
      <c r="UKC66" s="5"/>
      <c r="UKD66" s="5"/>
      <c r="UKE66" s="5"/>
      <c r="UKF66" s="5"/>
      <c r="UKG66" s="5"/>
      <c r="UKH66" s="5"/>
      <c r="UKI66" s="5"/>
      <c r="UKJ66" s="5"/>
      <c r="UKK66" s="5"/>
      <c r="UKL66" s="5"/>
      <c r="UKM66" s="5"/>
      <c r="UKN66" s="5"/>
      <c r="UKO66" s="5"/>
      <c r="UKP66" s="5"/>
      <c r="UKQ66" s="5"/>
      <c r="UKR66" s="5"/>
      <c r="UKS66" s="5"/>
      <c r="UKT66" s="5"/>
      <c r="UKU66" s="5"/>
      <c r="UKV66" s="5"/>
      <c r="UKW66" s="5"/>
      <c r="UKX66" s="5"/>
      <c r="UKY66" s="5"/>
      <c r="UKZ66" s="5"/>
      <c r="ULA66" s="5"/>
      <c r="ULB66" s="5"/>
      <c r="ULC66" s="5"/>
      <c r="ULD66" s="5"/>
      <c r="ULE66" s="5"/>
      <c r="ULF66" s="5"/>
      <c r="ULG66" s="5"/>
      <c r="ULH66" s="5"/>
      <c r="ULI66" s="5"/>
      <c r="ULJ66" s="5"/>
      <c r="ULK66" s="5"/>
      <c r="ULL66" s="5"/>
      <c r="ULM66" s="5"/>
      <c r="ULN66" s="5"/>
      <c r="ULO66" s="5"/>
      <c r="ULP66" s="5"/>
      <c r="ULQ66" s="5"/>
      <c r="ULR66" s="5"/>
      <c r="ULS66" s="5"/>
      <c r="ULT66" s="5"/>
      <c r="ULU66" s="5"/>
      <c r="ULV66" s="5"/>
      <c r="ULW66" s="5"/>
      <c r="ULX66" s="5"/>
      <c r="ULY66" s="5"/>
      <c r="ULZ66" s="5"/>
      <c r="UMA66" s="5"/>
      <c r="UMB66" s="5"/>
      <c r="UMC66" s="5"/>
      <c r="UMD66" s="5"/>
      <c r="UME66" s="5"/>
      <c r="UMF66" s="5"/>
      <c r="UMG66" s="5"/>
      <c r="UMH66" s="5"/>
      <c r="UMI66" s="5"/>
      <c r="UMJ66" s="5"/>
      <c r="UMK66" s="5"/>
      <c r="UML66" s="5"/>
      <c r="UMM66" s="5"/>
      <c r="UMN66" s="5"/>
      <c r="UMO66" s="5"/>
      <c r="UMP66" s="5"/>
      <c r="UMQ66" s="5"/>
      <c r="UMR66" s="5"/>
      <c r="UMS66" s="5"/>
      <c r="UMT66" s="5"/>
      <c r="UMU66" s="5"/>
      <c r="UMV66" s="5"/>
      <c r="UMW66" s="5"/>
      <c r="UMX66" s="5"/>
      <c r="UMY66" s="5"/>
      <c r="UMZ66" s="5"/>
      <c r="UNA66" s="5"/>
      <c r="UNB66" s="5"/>
      <c r="UNC66" s="5"/>
      <c r="UND66" s="5"/>
      <c r="UNE66" s="5"/>
      <c r="UNF66" s="5"/>
      <c r="UNG66" s="5"/>
      <c r="UNH66" s="5"/>
      <c r="UNI66" s="5"/>
      <c r="UNJ66" s="5"/>
      <c r="UNK66" s="5"/>
      <c r="UNL66" s="5"/>
      <c r="UNM66" s="5"/>
      <c r="UNN66" s="5"/>
      <c r="UNO66" s="5"/>
      <c r="UNP66" s="5"/>
      <c r="UNQ66" s="5"/>
      <c r="UNR66" s="5"/>
      <c r="UNS66" s="5"/>
      <c r="UNT66" s="5"/>
      <c r="UNU66" s="5"/>
      <c r="UNV66" s="5"/>
      <c r="UNW66" s="5"/>
      <c r="UNX66" s="5"/>
      <c r="UNY66" s="5"/>
      <c r="UNZ66" s="5"/>
      <c r="UOA66" s="5"/>
      <c r="UOB66" s="5"/>
      <c r="UOC66" s="5"/>
      <c r="UOD66" s="5"/>
      <c r="UOE66" s="5"/>
      <c r="UOF66" s="5"/>
      <c r="UOG66" s="5"/>
      <c r="UOH66" s="5"/>
      <c r="UOI66" s="5"/>
      <c r="UOJ66" s="5"/>
      <c r="UOK66" s="5"/>
      <c r="UOL66" s="5"/>
      <c r="UOM66" s="5"/>
      <c r="UON66" s="5"/>
      <c r="UOO66" s="5"/>
      <c r="UOP66" s="5"/>
      <c r="UOQ66" s="5"/>
      <c r="UOR66" s="5"/>
      <c r="UOS66" s="5"/>
      <c r="UOT66" s="5"/>
      <c r="UOU66" s="5"/>
      <c r="UOV66" s="5"/>
      <c r="UOW66" s="5"/>
      <c r="UOX66" s="5"/>
      <c r="UOY66" s="5"/>
      <c r="UOZ66" s="5"/>
      <c r="UPA66" s="5"/>
      <c r="UPB66" s="5"/>
      <c r="UPC66" s="5"/>
      <c r="UPD66" s="5"/>
      <c r="UPE66" s="5"/>
      <c r="UPF66" s="5"/>
      <c r="UPG66" s="5"/>
      <c r="UPH66" s="5"/>
      <c r="UPI66" s="5"/>
      <c r="UPJ66" s="5"/>
      <c r="UPK66" s="5"/>
      <c r="UPL66" s="5"/>
      <c r="UPM66" s="5"/>
      <c r="UPN66" s="5"/>
      <c r="UPO66" s="5"/>
      <c r="UPP66" s="5"/>
      <c r="UPQ66" s="5"/>
      <c r="UPR66" s="5"/>
      <c r="UPS66" s="5"/>
      <c r="UPT66" s="5"/>
      <c r="UPU66" s="5"/>
      <c r="UPV66" s="5"/>
      <c r="UPW66" s="5"/>
      <c r="UPX66" s="5"/>
      <c r="UPY66" s="5"/>
      <c r="UPZ66" s="5"/>
      <c r="UQA66" s="5"/>
      <c r="UQB66" s="5"/>
      <c r="UQC66" s="5"/>
      <c r="UQD66" s="5"/>
      <c r="UQE66" s="5"/>
      <c r="UQF66" s="5"/>
      <c r="UQG66" s="5"/>
      <c r="UQH66" s="5"/>
      <c r="UQI66" s="5"/>
      <c r="UQJ66" s="5"/>
      <c r="UQK66" s="5"/>
      <c r="UQL66" s="5"/>
      <c r="UQM66" s="5"/>
      <c r="UQN66" s="5"/>
      <c r="UQO66" s="5"/>
      <c r="UQP66" s="5"/>
      <c r="UQQ66" s="5"/>
      <c r="UQR66" s="5"/>
      <c r="UQS66" s="5"/>
      <c r="UQT66" s="5"/>
      <c r="UQU66" s="5"/>
      <c r="UQV66" s="5"/>
      <c r="UQW66" s="5"/>
      <c r="UQX66" s="5"/>
      <c r="UQY66" s="5"/>
      <c r="UQZ66" s="5"/>
      <c r="URA66" s="5"/>
      <c r="URB66" s="5"/>
      <c r="URC66" s="5"/>
      <c r="URD66" s="5"/>
      <c r="URE66" s="5"/>
      <c r="URF66" s="5"/>
      <c r="URG66" s="5"/>
      <c r="URH66" s="5"/>
      <c r="URI66" s="5"/>
      <c r="URJ66" s="5"/>
      <c r="URK66" s="5"/>
      <c r="URL66" s="5"/>
      <c r="URM66" s="5"/>
      <c r="URN66" s="5"/>
      <c r="URO66" s="5"/>
      <c r="URP66" s="5"/>
      <c r="URQ66" s="5"/>
      <c r="URR66" s="5"/>
      <c r="URS66" s="5"/>
      <c r="URT66" s="5"/>
      <c r="URU66" s="5"/>
      <c r="URV66" s="5"/>
      <c r="URW66" s="5"/>
      <c r="URX66" s="5"/>
      <c r="URY66" s="5"/>
      <c r="URZ66" s="5"/>
      <c r="USA66" s="5"/>
      <c r="USB66" s="5"/>
      <c r="USC66" s="5"/>
      <c r="USD66" s="5"/>
      <c r="USE66" s="5"/>
      <c r="USF66" s="5"/>
      <c r="USG66" s="5"/>
      <c r="USH66" s="5"/>
      <c r="USI66" s="5"/>
      <c r="USJ66" s="5"/>
      <c r="USK66" s="5"/>
      <c r="USL66" s="5"/>
      <c r="USM66" s="5"/>
      <c r="USN66" s="5"/>
      <c r="USO66" s="5"/>
      <c r="USP66" s="5"/>
      <c r="USQ66" s="5"/>
      <c r="USR66" s="5"/>
      <c r="USS66" s="5"/>
      <c r="UST66" s="5"/>
      <c r="USU66" s="5"/>
      <c r="USV66" s="5"/>
      <c r="USW66" s="5"/>
      <c r="USX66" s="5"/>
      <c r="USY66" s="5"/>
      <c r="USZ66" s="5"/>
      <c r="UTA66" s="5"/>
      <c r="UTB66" s="5"/>
      <c r="UTC66" s="5"/>
      <c r="UTD66" s="5"/>
      <c r="UTE66" s="5"/>
      <c r="UTF66" s="5"/>
      <c r="UTG66" s="5"/>
      <c r="UTH66" s="5"/>
      <c r="UTI66" s="5"/>
      <c r="UTJ66" s="5"/>
      <c r="UTK66" s="5"/>
      <c r="UTL66" s="5"/>
      <c r="UTM66" s="5"/>
      <c r="UTN66" s="5"/>
      <c r="UTO66" s="5"/>
      <c r="UTP66" s="5"/>
      <c r="UTQ66" s="5"/>
      <c r="UTR66" s="5"/>
      <c r="UTS66" s="5"/>
      <c r="UTT66" s="5"/>
      <c r="UTU66" s="5"/>
      <c r="UTV66" s="5"/>
      <c r="UTW66" s="5"/>
      <c r="UTX66" s="5"/>
      <c r="UTY66" s="5"/>
      <c r="UTZ66" s="5"/>
      <c r="UUA66" s="5"/>
      <c r="UUB66" s="5"/>
      <c r="UUC66" s="5"/>
      <c r="UUD66" s="5"/>
      <c r="UUE66" s="5"/>
      <c r="UUF66" s="5"/>
      <c r="UUG66" s="5"/>
      <c r="UUH66" s="5"/>
      <c r="UUI66" s="5"/>
      <c r="UUJ66" s="5"/>
      <c r="UUK66" s="5"/>
      <c r="UUL66" s="5"/>
      <c r="UUM66" s="5"/>
      <c r="UUN66" s="5"/>
      <c r="UUO66" s="5"/>
      <c r="UUP66" s="5"/>
      <c r="UUQ66" s="5"/>
      <c r="UUR66" s="5"/>
      <c r="UUS66" s="5"/>
      <c r="UUT66" s="5"/>
      <c r="UUU66" s="5"/>
      <c r="UUV66" s="5"/>
      <c r="UUW66" s="5"/>
      <c r="UUX66" s="5"/>
      <c r="UUY66" s="5"/>
      <c r="UUZ66" s="5"/>
      <c r="UVA66" s="5"/>
      <c r="UVB66" s="5"/>
      <c r="UVC66" s="5"/>
      <c r="UVD66" s="5"/>
      <c r="UVE66" s="5"/>
      <c r="UVF66" s="5"/>
      <c r="UVG66" s="5"/>
      <c r="UVH66" s="5"/>
      <c r="UVI66" s="5"/>
      <c r="UVJ66" s="5"/>
      <c r="UVK66" s="5"/>
      <c r="UVL66" s="5"/>
      <c r="UVM66" s="5"/>
      <c r="UVN66" s="5"/>
      <c r="UVO66" s="5"/>
      <c r="UVP66" s="5"/>
      <c r="UVQ66" s="5"/>
      <c r="UVR66" s="5"/>
      <c r="UVS66" s="5"/>
      <c r="UVT66" s="5"/>
      <c r="UVU66" s="5"/>
      <c r="UVV66" s="5"/>
      <c r="UVW66" s="5"/>
      <c r="UVX66" s="5"/>
      <c r="UVY66" s="5"/>
      <c r="UVZ66" s="5"/>
      <c r="UWA66" s="5"/>
      <c r="UWB66" s="5"/>
      <c r="UWC66" s="5"/>
      <c r="UWD66" s="5"/>
      <c r="UWE66" s="5"/>
      <c r="UWF66" s="5"/>
      <c r="UWG66" s="5"/>
      <c r="UWH66" s="5"/>
      <c r="UWI66" s="5"/>
      <c r="UWJ66" s="5"/>
      <c r="UWK66" s="5"/>
      <c r="UWL66" s="5"/>
      <c r="UWM66" s="5"/>
      <c r="UWN66" s="5"/>
      <c r="UWO66" s="5"/>
      <c r="UWP66" s="5"/>
      <c r="UWQ66" s="5"/>
      <c r="UWR66" s="5"/>
      <c r="UWS66" s="5"/>
      <c r="UWT66" s="5"/>
      <c r="UWU66" s="5"/>
      <c r="UWV66" s="5"/>
      <c r="UWW66" s="5"/>
      <c r="UWX66" s="5"/>
      <c r="UWY66" s="5"/>
      <c r="UWZ66" s="5"/>
      <c r="UXA66" s="5"/>
      <c r="UXB66" s="5"/>
      <c r="UXC66" s="5"/>
      <c r="UXD66" s="5"/>
      <c r="UXE66" s="5"/>
      <c r="UXF66" s="5"/>
      <c r="UXG66" s="5"/>
      <c r="UXH66" s="5"/>
      <c r="UXI66" s="5"/>
      <c r="UXJ66" s="5"/>
      <c r="UXK66" s="5"/>
      <c r="UXL66" s="5"/>
      <c r="UXM66" s="5"/>
      <c r="UXN66" s="5"/>
      <c r="UXO66" s="5"/>
      <c r="UXP66" s="5"/>
      <c r="UXQ66" s="5"/>
      <c r="UXR66" s="5"/>
      <c r="UXS66" s="5"/>
      <c r="UXT66" s="5"/>
      <c r="UXU66" s="5"/>
      <c r="UXV66" s="5"/>
      <c r="UXW66" s="5"/>
      <c r="UXX66" s="5"/>
      <c r="UXY66" s="5"/>
      <c r="UXZ66" s="5"/>
      <c r="UYA66" s="5"/>
      <c r="UYB66" s="5"/>
      <c r="UYC66" s="5"/>
      <c r="UYD66" s="5"/>
      <c r="UYE66" s="5"/>
      <c r="UYF66" s="5"/>
      <c r="UYG66" s="5"/>
      <c r="UYH66" s="5"/>
      <c r="UYI66" s="5"/>
      <c r="UYJ66" s="5"/>
      <c r="UYK66" s="5"/>
      <c r="UYL66" s="5"/>
      <c r="UYM66" s="5"/>
      <c r="UYN66" s="5"/>
      <c r="UYO66" s="5"/>
      <c r="UYP66" s="5"/>
      <c r="UYQ66" s="5"/>
      <c r="UYR66" s="5"/>
      <c r="UYS66" s="5"/>
      <c r="UYT66" s="5"/>
      <c r="UYU66" s="5"/>
      <c r="UYV66" s="5"/>
      <c r="UYW66" s="5"/>
      <c r="UYX66" s="5"/>
      <c r="UYY66" s="5"/>
      <c r="UYZ66" s="5"/>
      <c r="UZA66" s="5"/>
      <c r="UZB66" s="5"/>
      <c r="UZC66" s="5"/>
      <c r="UZD66" s="5"/>
      <c r="UZE66" s="5"/>
      <c r="UZF66" s="5"/>
      <c r="UZG66" s="5"/>
      <c r="UZH66" s="5"/>
      <c r="UZI66" s="5"/>
      <c r="UZJ66" s="5"/>
      <c r="UZK66" s="5"/>
      <c r="UZL66" s="5"/>
      <c r="UZM66" s="5"/>
      <c r="UZN66" s="5"/>
      <c r="UZO66" s="5"/>
      <c r="UZP66" s="5"/>
      <c r="UZQ66" s="5"/>
      <c r="UZR66" s="5"/>
      <c r="UZS66" s="5"/>
      <c r="UZT66" s="5"/>
      <c r="UZU66" s="5"/>
      <c r="UZV66" s="5"/>
      <c r="UZW66" s="5"/>
      <c r="UZX66" s="5"/>
      <c r="UZY66" s="5"/>
      <c r="UZZ66" s="5"/>
      <c r="VAA66" s="5"/>
      <c r="VAB66" s="5"/>
      <c r="VAC66" s="5"/>
      <c r="VAD66" s="5"/>
      <c r="VAE66" s="5"/>
      <c r="VAF66" s="5"/>
      <c r="VAG66" s="5"/>
      <c r="VAH66" s="5"/>
      <c r="VAI66" s="5"/>
      <c r="VAJ66" s="5"/>
      <c r="VAK66" s="5"/>
      <c r="VAL66" s="5"/>
      <c r="VAM66" s="5"/>
      <c r="VAN66" s="5"/>
      <c r="VAO66" s="5"/>
      <c r="VAP66" s="5"/>
      <c r="VAQ66" s="5"/>
      <c r="VAR66" s="5"/>
      <c r="VAS66" s="5"/>
      <c r="VAT66" s="5"/>
      <c r="VAU66" s="5"/>
      <c r="VAV66" s="5"/>
      <c r="VAW66" s="5"/>
      <c r="VAX66" s="5"/>
      <c r="VAY66" s="5"/>
      <c r="VAZ66" s="5"/>
      <c r="VBA66" s="5"/>
      <c r="VBB66" s="5"/>
      <c r="VBC66" s="5"/>
      <c r="VBD66" s="5"/>
      <c r="VBE66" s="5"/>
      <c r="VBF66" s="5"/>
      <c r="VBG66" s="5"/>
      <c r="VBH66" s="5"/>
      <c r="VBI66" s="5"/>
      <c r="VBJ66" s="5"/>
      <c r="VBK66" s="5"/>
      <c r="VBL66" s="5"/>
      <c r="VBM66" s="5"/>
      <c r="VBN66" s="5"/>
      <c r="VBO66" s="5"/>
      <c r="VBP66" s="5"/>
      <c r="VBQ66" s="5"/>
      <c r="VBR66" s="5"/>
      <c r="VBS66" s="5"/>
      <c r="VBT66" s="5"/>
      <c r="VBU66" s="5"/>
      <c r="VBV66" s="5"/>
      <c r="VBW66" s="5"/>
      <c r="VBX66" s="5"/>
      <c r="VBY66" s="5"/>
      <c r="VBZ66" s="5"/>
      <c r="VCA66" s="5"/>
      <c r="VCB66" s="5"/>
      <c r="VCC66" s="5"/>
      <c r="VCD66" s="5"/>
      <c r="VCE66" s="5"/>
      <c r="VCF66" s="5"/>
      <c r="VCG66" s="5"/>
      <c r="VCH66" s="5"/>
      <c r="VCI66" s="5"/>
      <c r="VCJ66" s="5"/>
      <c r="VCK66" s="5"/>
      <c r="VCL66" s="5"/>
      <c r="VCM66" s="5"/>
      <c r="VCN66" s="5"/>
      <c r="VCO66" s="5"/>
      <c r="VCP66" s="5"/>
      <c r="VCQ66" s="5"/>
      <c r="VCR66" s="5"/>
      <c r="VCS66" s="5"/>
      <c r="VCT66" s="5"/>
      <c r="VCU66" s="5"/>
      <c r="VCV66" s="5"/>
      <c r="VCW66" s="5"/>
      <c r="VCX66" s="5"/>
      <c r="VCY66" s="5"/>
      <c r="VCZ66" s="5"/>
      <c r="VDA66" s="5"/>
      <c r="VDB66" s="5"/>
      <c r="VDC66" s="5"/>
      <c r="VDD66" s="5"/>
      <c r="VDE66" s="5"/>
      <c r="VDF66" s="5"/>
      <c r="VDG66" s="5"/>
      <c r="VDH66" s="5"/>
      <c r="VDI66" s="5"/>
      <c r="VDJ66" s="5"/>
      <c r="VDK66" s="5"/>
      <c r="VDL66" s="5"/>
      <c r="VDM66" s="5"/>
      <c r="VDN66" s="5"/>
      <c r="VDO66" s="5"/>
      <c r="VDP66" s="5"/>
      <c r="VDQ66" s="5"/>
      <c r="VDR66" s="5"/>
      <c r="VDS66" s="5"/>
      <c r="VDT66" s="5"/>
      <c r="VDU66" s="5"/>
      <c r="VDV66" s="5"/>
      <c r="VDW66" s="5"/>
      <c r="VDX66" s="5"/>
      <c r="VDY66" s="5"/>
      <c r="VDZ66" s="5"/>
      <c r="VEA66" s="5"/>
      <c r="VEB66" s="5"/>
      <c r="VEC66" s="5"/>
      <c r="VED66" s="5"/>
      <c r="VEE66" s="5"/>
      <c r="VEF66" s="5"/>
      <c r="VEG66" s="5"/>
      <c r="VEH66" s="5"/>
      <c r="VEI66" s="5"/>
      <c r="VEJ66" s="5"/>
      <c r="VEK66" s="5"/>
      <c r="VEL66" s="5"/>
      <c r="VEM66" s="5"/>
      <c r="VEN66" s="5"/>
      <c r="VEO66" s="5"/>
      <c r="VEP66" s="5"/>
      <c r="VEQ66" s="5"/>
      <c r="VER66" s="5"/>
      <c r="VES66" s="5"/>
      <c r="VET66" s="5"/>
      <c r="VEU66" s="5"/>
      <c r="VEV66" s="5"/>
      <c r="VEW66" s="5"/>
      <c r="VEX66" s="5"/>
      <c r="VEY66" s="5"/>
      <c r="VEZ66" s="5"/>
      <c r="VFA66" s="5"/>
      <c r="VFB66" s="5"/>
      <c r="VFC66" s="5"/>
      <c r="VFD66" s="5"/>
      <c r="VFE66" s="5"/>
      <c r="VFF66" s="5"/>
      <c r="VFG66" s="5"/>
      <c r="VFH66" s="5"/>
      <c r="VFI66" s="5"/>
      <c r="VFJ66" s="5"/>
      <c r="VFK66" s="5"/>
      <c r="VFL66" s="5"/>
      <c r="VFM66" s="5"/>
      <c r="VFN66" s="5"/>
      <c r="VFO66" s="5"/>
      <c r="VFP66" s="5"/>
      <c r="VFQ66" s="5"/>
      <c r="VFR66" s="5"/>
      <c r="VFS66" s="5"/>
      <c r="VFT66" s="5"/>
      <c r="VFU66" s="5"/>
      <c r="VFV66" s="5"/>
      <c r="VFW66" s="5"/>
      <c r="VFX66" s="5"/>
      <c r="VFY66" s="5"/>
      <c r="VFZ66" s="5"/>
      <c r="VGA66" s="5"/>
      <c r="VGB66" s="5"/>
      <c r="VGC66" s="5"/>
      <c r="VGD66" s="5"/>
      <c r="VGE66" s="5"/>
      <c r="VGF66" s="5"/>
      <c r="VGG66" s="5"/>
      <c r="VGH66" s="5"/>
      <c r="VGI66" s="5"/>
      <c r="VGJ66" s="5"/>
      <c r="VGK66" s="5"/>
      <c r="VGL66" s="5"/>
      <c r="VGM66" s="5"/>
      <c r="VGN66" s="5"/>
      <c r="VGO66" s="5"/>
      <c r="VGP66" s="5"/>
      <c r="VGQ66" s="5"/>
      <c r="VGR66" s="5"/>
      <c r="VGS66" s="5"/>
      <c r="VGT66" s="5"/>
      <c r="VGU66" s="5"/>
      <c r="VGV66" s="5"/>
      <c r="VGW66" s="5"/>
      <c r="VGX66" s="5"/>
      <c r="VGY66" s="5"/>
      <c r="VGZ66" s="5"/>
      <c r="VHA66" s="5"/>
      <c r="VHB66" s="5"/>
      <c r="VHC66" s="5"/>
      <c r="VHD66" s="5"/>
      <c r="VHE66" s="5"/>
      <c r="VHF66" s="5"/>
      <c r="VHG66" s="5"/>
      <c r="VHH66" s="5"/>
      <c r="VHI66" s="5"/>
      <c r="VHJ66" s="5"/>
      <c r="VHK66" s="5"/>
      <c r="VHL66" s="5"/>
      <c r="VHM66" s="5"/>
      <c r="VHN66" s="5"/>
      <c r="VHO66" s="5"/>
      <c r="VHP66" s="5"/>
      <c r="VHQ66" s="5"/>
      <c r="VHR66" s="5"/>
      <c r="VHS66" s="5"/>
      <c r="VHT66" s="5"/>
      <c r="VHU66" s="5"/>
      <c r="VHV66" s="5"/>
      <c r="VHW66" s="5"/>
      <c r="VHX66" s="5"/>
      <c r="VHY66" s="5"/>
      <c r="VHZ66" s="5"/>
      <c r="VIA66" s="5"/>
      <c r="VIB66" s="5"/>
      <c r="VIC66" s="5"/>
      <c r="VID66" s="5"/>
      <c r="VIE66" s="5"/>
      <c r="VIF66" s="5"/>
      <c r="VIG66" s="5"/>
      <c r="VIH66" s="5"/>
      <c r="VII66" s="5"/>
      <c r="VIJ66" s="5"/>
      <c r="VIK66" s="5"/>
      <c r="VIL66" s="5"/>
      <c r="VIM66" s="5"/>
      <c r="VIN66" s="5"/>
      <c r="VIO66" s="5"/>
      <c r="VIP66" s="5"/>
      <c r="VIQ66" s="5"/>
      <c r="VIR66" s="5"/>
      <c r="VIS66" s="5"/>
      <c r="VIT66" s="5"/>
      <c r="VIU66" s="5"/>
      <c r="VIV66" s="5"/>
      <c r="VIW66" s="5"/>
      <c r="VIX66" s="5"/>
      <c r="VIY66" s="5"/>
      <c r="VIZ66" s="5"/>
      <c r="VJA66" s="5"/>
      <c r="VJB66" s="5"/>
      <c r="VJC66" s="5"/>
      <c r="VJD66" s="5"/>
      <c r="VJE66" s="5"/>
      <c r="VJF66" s="5"/>
      <c r="VJG66" s="5"/>
      <c r="VJH66" s="5"/>
      <c r="VJI66" s="5"/>
      <c r="VJJ66" s="5"/>
      <c r="VJK66" s="5"/>
      <c r="VJL66" s="5"/>
      <c r="VJM66" s="5"/>
      <c r="VJN66" s="5"/>
      <c r="VJO66" s="5"/>
      <c r="VJP66" s="5"/>
      <c r="VJQ66" s="5"/>
      <c r="VJR66" s="5"/>
      <c r="VJS66" s="5"/>
      <c r="VJT66" s="5"/>
      <c r="VJU66" s="5"/>
      <c r="VJV66" s="5"/>
      <c r="VJW66" s="5"/>
      <c r="VJX66" s="5"/>
      <c r="VJY66" s="5"/>
      <c r="VJZ66" s="5"/>
      <c r="VKA66" s="5"/>
      <c r="VKB66" s="5"/>
      <c r="VKC66" s="5"/>
      <c r="VKD66" s="5"/>
      <c r="VKE66" s="5"/>
      <c r="VKF66" s="5"/>
      <c r="VKG66" s="5"/>
      <c r="VKH66" s="5"/>
      <c r="VKI66" s="5"/>
      <c r="VKJ66" s="5"/>
      <c r="VKK66" s="5"/>
      <c r="VKL66" s="5"/>
      <c r="VKM66" s="5"/>
      <c r="VKN66" s="5"/>
      <c r="VKO66" s="5"/>
      <c r="VKP66" s="5"/>
      <c r="VKQ66" s="5"/>
      <c r="VKR66" s="5"/>
      <c r="VKS66" s="5"/>
      <c r="VKT66" s="5"/>
      <c r="VKU66" s="5"/>
      <c r="VKV66" s="5"/>
      <c r="VKW66" s="5"/>
      <c r="VKX66" s="5"/>
      <c r="VKY66" s="5"/>
      <c r="VKZ66" s="5"/>
      <c r="VLA66" s="5"/>
      <c r="VLB66" s="5"/>
      <c r="VLC66" s="5"/>
      <c r="VLD66" s="5"/>
      <c r="VLE66" s="5"/>
      <c r="VLF66" s="5"/>
      <c r="VLG66" s="5"/>
      <c r="VLH66" s="5"/>
      <c r="VLI66" s="5"/>
      <c r="VLJ66" s="5"/>
      <c r="VLK66" s="5"/>
      <c r="VLL66" s="5"/>
      <c r="VLM66" s="5"/>
      <c r="VLN66" s="5"/>
      <c r="VLO66" s="5"/>
      <c r="VLP66" s="5"/>
      <c r="VLQ66" s="5"/>
      <c r="VLR66" s="5"/>
      <c r="VLS66" s="5"/>
      <c r="VLT66" s="5"/>
      <c r="VLU66" s="5"/>
      <c r="VLV66" s="5"/>
      <c r="VLW66" s="5"/>
      <c r="VLX66" s="5"/>
      <c r="VLY66" s="5"/>
      <c r="VLZ66" s="5"/>
      <c r="VMA66" s="5"/>
      <c r="VMB66" s="5"/>
      <c r="VMC66" s="5"/>
      <c r="VMD66" s="5"/>
      <c r="VME66" s="5"/>
      <c r="VMF66" s="5"/>
      <c r="VMG66" s="5"/>
      <c r="VMH66" s="5"/>
      <c r="VMI66" s="5"/>
      <c r="VMJ66" s="5"/>
      <c r="VMK66" s="5"/>
      <c r="VML66" s="5"/>
      <c r="VMM66" s="5"/>
      <c r="VMN66" s="5"/>
      <c r="VMO66" s="5"/>
      <c r="VMP66" s="5"/>
      <c r="VMQ66" s="5"/>
      <c r="VMR66" s="5"/>
      <c r="VMS66" s="5"/>
      <c r="VMT66" s="5"/>
      <c r="VMU66" s="5"/>
      <c r="VMV66" s="5"/>
      <c r="VMW66" s="5"/>
      <c r="VMX66" s="5"/>
      <c r="VMY66" s="5"/>
      <c r="VMZ66" s="5"/>
      <c r="VNA66" s="5"/>
      <c r="VNB66" s="5"/>
      <c r="VNC66" s="5"/>
      <c r="VND66" s="5"/>
      <c r="VNE66" s="5"/>
      <c r="VNF66" s="5"/>
      <c r="VNG66" s="5"/>
      <c r="VNH66" s="5"/>
      <c r="VNI66" s="5"/>
      <c r="VNJ66" s="5"/>
      <c r="VNK66" s="5"/>
      <c r="VNL66" s="5"/>
      <c r="VNM66" s="5"/>
      <c r="VNN66" s="5"/>
      <c r="VNO66" s="5"/>
      <c r="VNP66" s="5"/>
      <c r="VNQ66" s="5"/>
      <c r="VNR66" s="5"/>
      <c r="VNS66" s="5"/>
      <c r="VNT66" s="5"/>
      <c r="VNU66" s="5"/>
      <c r="VNV66" s="5"/>
      <c r="VNW66" s="5"/>
      <c r="VNX66" s="5"/>
      <c r="VNY66" s="5"/>
      <c r="VNZ66" s="5"/>
      <c r="VOA66" s="5"/>
      <c r="VOB66" s="5"/>
      <c r="VOC66" s="5"/>
      <c r="VOD66" s="5"/>
      <c r="VOE66" s="5"/>
      <c r="VOF66" s="5"/>
      <c r="VOG66" s="5"/>
      <c r="VOH66" s="5"/>
      <c r="VOI66" s="5"/>
      <c r="VOJ66" s="5"/>
      <c r="VOK66" s="5"/>
      <c r="VOL66" s="5"/>
      <c r="VOM66" s="5"/>
      <c r="VON66" s="5"/>
      <c r="VOO66" s="5"/>
      <c r="VOP66" s="5"/>
      <c r="VOQ66" s="5"/>
      <c r="VOR66" s="5"/>
      <c r="VOS66" s="5"/>
      <c r="VOT66" s="5"/>
      <c r="VOU66" s="5"/>
      <c r="VOV66" s="5"/>
      <c r="VOW66" s="5"/>
      <c r="VOX66" s="5"/>
      <c r="VOY66" s="5"/>
      <c r="VOZ66" s="5"/>
      <c r="VPA66" s="5"/>
      <c r="VPB66" s="5"/>
      <c r="VPC66" s="5"/>
      <c r="VPD66" s="5"/>
      <c r="VPE66" s="5"/>
      <c r="VPF66" s="5"/>
      <c r="VPG66" s="5"/>
      <c r="VPH66" s="5"/>
      <c r="VPI66" s="5"/>
      <c r="VPJ66" s="5"/>
      <c r="VPK66" s="5"/>
      <c r="VPL66" s="5"/>
      <c r="VPM66" s="5"/>
      <c r="VPN66" s="5"/>
      <c r="VPO66" s="5"/>
      <c r="VPP66" s="5"/>
      <c r="VPQ66" s="5"/>
      <c r="VPR66" s="5"/>
      <c r="VPS66" s="5"/>
      <c r="VPT66" s="5"/>
      <c r="VPU66" s="5"/>
      <c r="VPV66" s="5"/>
      <c r="VPW66" s="5"/>
      <c r="VPX66" s="5"/>
      <c r="VPY66" s="5"/>
      <c r="VPZ66" s="5"/>
      <c r="VQA66" s="5"/>
      <c r="VQB66" s="5"/>
      <c r="VQC66" s="5"/>
      <c r="VQD66" s="5"/>
      <c r="VQE66" s="5"/>
      <c r="VQF66" s="5"/>
      <c r="VQG66" s="5"/>
      <c r="VQH66" s="5"/>
      <c r="VQI66" s="5"/>
      <c r="VQJ66" s="5"/>
      <c r="VQK66" s="5"/>
      <c r="VQL66" s="5"/>
      <c r="VQM66" s="5"/>
      <c r="VQN66" s="5"/>
      <c r="VQO66" s="5"/>
      <c r="VQP66" s="5"/>
      <c r="VQQ66" s="5"/>
      <c r="VQR66" s="5"/>
      <c r="VQS66" s="5"/>
      <c r="VQT66" s="5"/>
      <c r="VQU66" s="5"/>
      <c r="VQV66" s="5"/>
      <c r="VQW66" s="5"/>
      <c r="VQX66" s="5"/>
      <c r="VQY66" s="5"/>
      <c r="VQZ66" s="5"/>
      <c r="VRA66" s="5"/>
      <c r="VRB66" s="5"/>
      <c r="VRC66" s="5"/>
      <c r="VRD66" s="5"/>
      <c r="VRE66" s="5"/>
      <c r="VRF66" s="5"/>
      <c r="VRG66" s="5"/>
      <c r="VRH66" s="5"/>
      <c r="VRI66" s="5"/>
      <c r="VRJ66" s="5"/>
      <c r="VRK66" s="5"/>
      <c r="VRL66" s="5"/>
      <c r="VRM66" s="5"/>
      <c r="VRN66" s="5"/>
      <c r="VRO66" s="5"/>
      <c r="VRP66" s="5"/>
      <c r="VRQ66" s="5"/>
      <c r="VRR66" s="5"/>
      <c r="VRS66" s="5"/>
      <c r="VRT66" s="5"/>
      <c r="VRU66" s="5"/>
      <c r="VRV66" s="5"/>
      <c r="VRW66" s="5"/>
      <c r="VRX66" s="5"/>
      <c r="VRY66" s="5"/>
      <c r="VRZ66" s="5"/>
      <c r="VSA66" s="5"/>
      <c r="VSB66" s="5"/>
      <c r="VSC66" s="5"/>
      <c r="VSD66" s="5"/>
      <c r="VSE66" s="5"/>
      <c r="VSF66" s="5"/>
      <c r="VSG66" s="5"/>
      <c r="VSH66" s="5"/>
      <c r="VSI66" s="5"/>
      <c r="VSJ66" s="5"/>
      <c r="VSK66" s="5"/>
      <c r="VSL66" s="5"/>
      <c r="VSM66" s="5"/>
      <c r="VSN66" s="5"/>
      <c r="VSO66" s="5"/>
      <c r="VSP66" s="5"/>
      <c r="VSQ66" s="5"/>
      <c r="VSR66" s="5"/>
      <c r="VSS66" s="5"/>
      <c r="VST66" s="5"/>
      <c r="VSU66" s="5"/>
      <c r="VSV66" s="5"/>
      <c r="VSW66" s="5"/>
      <c r="VSX66" s="5"/>
      <c r="VSY66" s="5"/>
      <c r="VSZ66" s="5"/>
      <c r="VTA66" s="5"/>
      <c r="VTB66" s="5"/>
      <c r="VTC66" s="5"/>
      <c r="VTD66" s="5"/>
      <c r="VTE66" s="5"/>
      <c r="VTF66" s="5"/>
      <c r="VTG66" s="5"/>
      <c r="VTH66" s="5"/>
      <c r="VTI66" s="5"/>
      <c r="VTJ66" s="5"/>
      <c r="VTK66" s="5"/>
      <c r="VTL66" s="5"/>
      <c r="VTM66" s="5"/>
      <c r="VTN66" s="5"/>
      <c r="VTO66" s="5"/>
      <c r="VTP66" s="5"/>
      <c r="VTQ66" s="5"/>
      <c r="VTR66" s="5"/>
      <c r="VTS66" s="5"/>
      <c r="VTT66" s="5"/>
      <c r="VTU66" s="5"/>
      <c r="VTV66" s="5"/>
      <c r="VTW66" s="5"/>
      <c r="VTX66" s="5"/>
      <c r="VTY66" s="5"/>
      <c r="VTZ66" s="5"/>
      <c r="VUA66" s="5"/>
      <c r="VUB66" s="5"/>
      <c r="VUC66" s="5"/>
      <c r="VUD66" s="5"/>
      <c r="VUE66" s="5"/>
      <c r="VUF66" s="5"/>
      <c r="VUG66" s="5"/>
      <c r="VUH66" s="5"/>
      <c r="VUI66" s="5"/>
      <c r="VUJ66" s="5"/>
      <c r="VUK66" s="5"/>
      <c r="VUL66" s="5"/>
      <c r="VUM66" s="5"/>
      <c r="VUN66" s="5"/>
      <c r="VUO66" s="5"/>
      <c r="VUP66" s="5"/>
      <c r="VUQ66" s="5"/>
      <c r="VUR66" s="5"/>
      <c r="VUS66" s="5"/>
      <c r="VUT66" s="5"/>
      <c r="VUU66" s="5"/>
      <c r="VUV66" s="5"/>
      <c r="VUW66" s="5"/>
      <c r="VUX66" s="5"/>
      <c r="VUY66" s="5"/>
      <c r="VUZ66" s="5"/>
      <c r="VVA66" s="5"/>
      <c r="VVB66" s="5"/>
      <c r="VVC66" s="5"/>
      <c r="VVD66" s="5"/>
      <c r="VVE66" s="5"/>
      <c r="VVF66" s="5"/>
      <c r="VVG66" s="5"/>
      <c r="VVH66" s="5"/>
      <c r="VVI66" s="5"/>
      <c r="VVJ66" s="5"/>
      <c r="VVK66" s="5"/>
      <c r="VVL66" s="5"/>
      <c r="VVM66" s="5"/>
      <c r="VVN66" s="5"/>
      <c r="VVO66" s="5"/>
      <c r="VVP66" s="5"/>
      <c r="VVQ66" s="5"/>
      <c r="VVR66" s="5"/>
      <c r="VVS66" s="5"/>
      <c r="VVT66" s="5"/>
      <c r="VVU66" s="5"/>
      <c r="VVV66" s="5"/>
      <c r="VVW66" s="5"/>
      <c r="VVX66" s="5"/>
      <c r="VVY66" s="5"/>
      <c r="VVZ66" s="5"/>
      <c r="VWA66" s="5"/>
      <c r="VWB66" s="5"/>
      <c r="VWC66" s="5"/>
      <c r="VWD66" s="5"/>
      <c r="VWE66" s="5"/>
      <c r="VWF66" s="5"/>
      <c r="VWG66" s="5"/>
      <c r="VWH66" s="5"/>
      <c r="VWI66" s="5"/>
      <c r="VWJ66" s="5"/>
      <c r="VWK66" s="5"/>
      <c r="VWL66" s="5"/>
      <c r="VWM66" s="5"/>
      <c r="VWN66" s="5"/>
      <c r="VWO66" s="5"/>
      <c r="VWP66" s="5"/>
      <c r="VWQ66" s="5"/>
      <c r="VWR66" s="5"/>
      <c r="VWS66" s="5"/>
      <c r="VWT66" s="5"/>
      <c r="VWU66" s="5"/>
      <c r="VWV66" s="5"/>
      <c r="VWW66" s="5"/>
      <c r="VWX66" s="5"/>
      <c r="VWY66" s="5"/>
      <c r="VWZ66" s="5"/>
      <c r="VXA66" s="5"/>
      <c r="VXB66" s="5"/>
      <c r="VXC66" s="5"/>
      <c r="VXD66" s="5"/>
      <c r="VXE66" s="5"/>
      <c r="VXF66" s="5"/>
      <c r="VXG66" s="5"/>
      <c r="VXH66" s="5"/>
      <c r="VXI66" s="5"/>
      <c r="VXJ66" s="5"/>
      <c r="VXK66" s="5"/>
      <c r="VXL66" s="5"/>
      <c r="VXM66" s="5"/>
      <c r="VXN66" s="5"/>
      <c r="VXO66" s="5"/>
      <c r="VXP66" s="5"/>
      <c r="VXQ66" s="5"/>
      <c r="VXR66" s="5"/>
      <c r="VXS66" s="5"/>
      <c r="VXT66" s="5"/>
      <c r="VXU66" s="5"/>
      <c r="VXV66" s="5"/>
      <c r="VXW66" s="5"/>
      <c r="VXX66" s="5"/>
      <c r="VXY66" s="5"/>
      <c r="VXZ66" s="5"/>
      <c r="VYA66" s="5"/>
      <c r="VYB66" s="5"/>
      <c r="VYC66" s="5"/>
      <c r="VYD66" s="5"/>
      <c r="VYE66" s="5"/>
      <c r="VYF66" s="5"/>
      <c r="VYG66" s="5"/>
      <c r="VYH66" s="5"/>
      <c r="VYI66" s="5"/>
      <c r="VYJ66" s="5"/>
      <c r="VYK66" s="5"/>
      <c r="VYL66" s="5"/>
      <c r="VYM66" s="5"/>
      <c r="VYN66" s="5"/>
      <c r="VYO66" s="5"/>
      <c r="VYP66" s="5"/>
      <c r="VYQ66" s="5"/>
      <c r="VYR66" s="5"/>
      <c r="VYS66" s="5"/>
      <c r="VYT66" s="5"/>
      <c r="VYU66" s="5"/>
      <c r="VYV66" s="5"/>
      <c r="VYW66" s="5"/>
      <c r="VYX66" s="5"/>
      <c r="VYY66" s="5"/>
      <c r="VYZ66" s="5"/>
      <c r="VZA66" s="5"/>
      <c r="VZB66" s="5"/>
      <c r="VZC66" s="5"/>
      <c r="VZD66" s="5"/>
      <c r="VZE66" s="5"/>
      <c r="VZF66" s="5"/>
      <c r="VZG66" s="5"/>
      <c r="VZH66" s="5"/>
      <c r="VZI66" s="5"/>
      <c r="VZJ66" s="5"/>
      <c r="VZK66" s="5"/>
      <c r="VZL66" s="5"/>
      <c r="VZM66" s="5"/>
      <c r="VZN66" s="5"/>
      <c r="VZO66" s="5"/>
      <c r="VZP66" s="5"/>
      <c r="VZQ66" s="5"/>
      <c r="VZR66" s="5"/>
      <c r="VZS66" s="5"/>
      <c r="VZT66" s="5"/>
      <c r="VZU66" s="5"/>
      <c r="VZV66" s="5"/>
      <c r="VZW66" s="5"/>
      <c r="VZX66" s="5"/>
      <c r="VZY66" s="5"/>
      <c r="VZZ66" s="5"/>
      <c r="WAA66" s="5"/>
      <c r="WAB66" s="5"/>
      <c r="WAC66" s="5"/>
      <c r="WAD66" s="5"/>
      <c r="WAE66" s="5"/>
      <c r="WAF66" s="5"/>
      <c r="WAG66" s="5"/>
      <c r="WAH66" s="5"/>
      <c r="WAI66" s="5"/>
      <c r="WAJ66" s="5"/>
      <c r="WAK66" s="5"/>
      <c r="WAL66" s="5"/>
      <c r="WAM66" s="5"/>
      <c r="WAN66" s="5"/>
      <c r="WAO66" s="5"/>
      <c r="WAP66" s="5"/>
      <c r="WAQ66" s="5"/>
      <c r="WAR66" s="5"/>
      <c r="WAS66" s="5"/>
      <c r="WAT66" s="5"/>
      <c r="WAU66" s="5"/>
      <c r="WAV66" s="5"/>
      <c r="WAW66" s="5"/>
      <c r="WAX66" s="5"/>
      <c r="WAY66" s="5"/>
      <c r="WAZ66" s="5"/>
      <c r="WBA66" s="5"/>
      <c r="WBB66" s="5"/>
      <c r="WBC66" s="5"/>
      <c r="WBD66" s="5"/>
      <c r="WBE66" s="5"/>
      <c r="WBF66" s="5"/>
      <c r="WBG66" s="5"/>
      <c r="WBH66" s="5"/>
      <c r="WBI66" s="5"/>
      <c r="WBJ66" s="5"/>
      <c r="WBK66" s="5"/>
      <c r="WBL66" s="5"/>
      <c r="WBM66" s="5"/>
      <c r="WBN66" s="5"/>
      <c r="WBO66" s="5"/>
      <c r="WBP66" s="5"/>
      <c r="WBQ66" s="5"/>
      <c r="WBR66" s="5"/>
      <c r="WBS66" s="5"/>
      <c r="WBT66" s="5"/>
      <c r="WBU66" s="5"/>
      <c r="WBV66" s="5"/>
      <c r="WBW66" s="5"/>
      <c r="WBX66" s="5"/>
      <c r="WBY66" s="5"/>
      <c r="WBZ66" s="5"/>
      <c r="WCA66" s="5"/>
      <c r="WCB66" s="5"/>
      <c r="WCC66" s="5"/>
      <c r="WCD66" s="5"/>
      <c r="WCE66" s="5"/>
      <c r="WCF66" s="5"/>
      <c r="WCG66" s="5"/>
      <c r="WCH66" s="5"/>
      <c r="WCI66" s="5"/>
      <c r="WCJ66" s="5"/>
      <c r="WCK66" s="5"/>
      <c r="WCL66" s="5"/>
      <c r="WCM66" s="5"/>
      <c r="WCN66" s="5"/>
      <c r="WCO66" s="5"/>
      <c r="WCP66" s="5"/>
      <c r="WCQ66" s="5"/>
      <c r="WCR66" s="5"/>
      <c r="WCS66" s="5"/>
      <c r="WCT66" s="5"/>
      <c r="WCU66" s="5"/>
      <c r="WCV66" s="5"/>
      <c r="WCW66" s="5"/>
      <c r="WCX66" s="5"/>
      <c r="WCY66" s="5"/>
      <c r="WCZ66" s="5"/>
      <c r="WDA66" s="5"/>
      <c r="WDB66" s="5"/>
      <c r="WDC66" s="5"/>
      <c r="WDD66" s="5"/>
      <c r="WDE66" s="5"/>
      <c r="WDF66" s="5"/>
      <c r="WDG66" s="5"/>
      <c r="WDH66" s="5"/>
      <c r="WDI66" s="5"/>
      <c r="WDJ66" s="5"/>
      <c r="WDK66" s="5"/>
      <c r="WDL66" s="5"/>
      <c r="WDM66" s="5"/>
      <c r="WDN66" s="5"/>
      <c r="WDO66" s="5"/>
      <c r="WDP66" s="5"/>
      <c r="WDQ66" s="5"/>
      <c r="WDR66" s="5"/>
      <c r="WDS66" s="5"/>
      <c r="WDT66" s="5"/>
      <c r="WDU66" s="5"/>
      <c r="WDV66" s="5"/>
      <c r="WDW66" s="5"/>
      <c r="WDX66" s="5"/>
      <c r="WDY66" s="5"/>
      <c r="WDZ66" s="5"/>
      <c r="WEA66" s="5"/>
      <c r="WEB66" s="5"/>
      <c r="WEC66" s="5"/>
      <c r="WED66" s="5"/>
      <c r="WEE66" s="5"/>
      <c r="WEF66" s="5"/>
      <c r="WEG66" s="5"/>
      <c r="WEH66" s="5"/>
      <c r="WEI66" s="5"/>
      <c r="WEJ66" s="5"/>
      <c r="WEK66" s="5"/>
      <c r="WEL66" s="5"/>
      <c r="WEM66" s="5"/>
      <c r="WEN66" s="5"/>
      <c r="WEO66" s="5"/>
      <c r="WEP66" s="5"/>
      <c r="WEQ66" s="5"/>
      <c r="WER66" s="5"/>
      <c r="WES66" s="5"/>
      <c r="WET66" s="5"/>
      <c r="WEU66" s="5"/>
      <c r="WEV66" s="5"/>
      <c r="WEW66" s="5"/>
      <c r="WEX66" s="5"/>
      <c r="WEY66" s="5"/>
      <c r="WEZ66" s="5"/>
      <c r="WFA66" s="5"/>
      <c r="WFB66" s="5"/>
      <c r="WFC66" s="5"/>
      <c r="WFD66" s="5"/>
      <c r="WFE66" s="5"/>
      <c r="WFF66" s="5"/>
      <c r="WFG66" s="5"/>
      <c r="WFH66" s="5"/>
      <c r="WFI66" s="5"/>
      <c r="WFJ66" s="5"/>
      <c r="WFK66" s="5"/>
      <c r="WFL66" s="5"/>
      <c r="WFM66" s="5"/>
      <c r="WFN66" s="5"/>
      <c r="WFO66" s="5"/>
      <c r="WFP66" s="5"/>
      <c r="WFQ66" s="5"/>
      <c r="WFR66" s="5"/>
      <c r="WFS66" s="5"/>
      <c r="WFT66" s="5"/>
      <c r="WFU66" s="5"/>
      <c r="WFV66" s="5"/>
      <c r="WFW66" s="5"/>
      <c r="WFX66" s="5"/>
      <c r="WFY66" s="5"/>
      <c r="WFZ66" s="5"/>
      <c r="WGA66" s="5"/>
      <c r="WGB66" s="5"/>
      <c r="WGC66" s="5"/>
      <c r="WGD66" s="5"/>
      <c r="WGE66" s="5"/>
      <c r="WGF66" s="5"/>
      <c r="WGG66" s="5"/>
      <c r="WGH66" s="5"/>
      <c r="WGI66" s="5"/>
      <c r="WGJ66" s="5"/>
      <c r="WGK66" s="5"/>
      <c r="WGL66" s="5"/>
      <c r="WGM66" s="5"/>
      <c r="WGN66" s="5"/>
      <c r="WGO66" s="5"/>
      <c r="WGP66" s="5"/>
      <c r="WGQ66" s="5"/>
      <c r="WGR66" s="5"/>
      <c r="WGS66" s="5"/>
      <c r="WGT66" s="5"/>
      <c r="WGU66" s="5"/>
      <c r="WGV66" s="5"/>
      <c r="WGW66" s="5"/>
      <c r="WGX66" s="5"/>
      <c r="WGY66" s="5"/>
      <c r="WGZ66" s="5"/>
      <c r="WHA66" s="5"/>
      <c r="WHB66" s="5"/>
      <c r="WHC66" s="5"/>
      <c r="WHD66" s="5"/>
      <c r="WHE66" s="5"/>
      <c r="WHF66" s="5"/>
      <c r="WHG66" s="5"/>
      <c r="WHH66" s="5"/>
      <c r="WHI66" s="5"/>
      <c r="WHJ66" s="5"/>
      <c r="WHK66" s="5"/>
      <c r="WHL66" s="5"/>
      <c r="WHM66" s="5"/>
      <c r="WHN66" s="5"/>
      <c r="WHO66" s="5"/>
      <c r="WHP66" s="5"/>
      <c r="WHQ66" s="5"/>
      <c r="WHR66" s="5"/>
      <c r="WHS66" s="5"/>
      <c r="WHT66" s="5"/>
      <c r="WHU66" s="5"/>
      <c r="WHV66" s="5"/>
      <c r="WHW66" s="5"/>
      <c r="WHX66" s="5"/>
      <c r="WHY66" s="5"/>
      <c r="WHZ66" s="5"/>
      <c r="WIA66" s="5"/>
      <c r="WIB66" s="5"/>
      <c r="WIC66" s="5"/>
      <c r="WID66" s="5"/>
      <c r="WIE66" s="5"/>
      <c r="WIF66" s="5"/>
      <c r="WIG66" s="5"/>
      <c r="WIH66" s="5"/>
      <c r="WII66" s="5"/>
      <c r="WIJ66" s="5"/>
      <c r="WIK66" s="5"/>
      <c r="WIL66" s="5"/>
      <c r="WIM66" s="5"/>
      <c r="WIN66" s="5"/>
      <c r="WIO66" s="5"/>
      <c r="WIP66" s="5"/>
      <c r="WIQ66" s="5"/>
      <c r="WIR66" s="5"/>
      <c r="WIS66" s="5"/>
      <c r="WIT66" s="5"/>
      <c r="WIU66" s="5"/>
      <c r="WIV66" s="5"/>
      <c r="WIW66" s="5"/>
      <c r="WIX66" s="5"/>
      <c r="WIY66" s="5"/>
      <c r="WIZ66" s="5"/>
      <c r="WJA66" s="5"/>
      <c r="WJB66" s="5"/>
      <c r="WJC66" s="5"/>
      <c r="WJD66" s="5"/>
      <c r="WJE66" s="5"/>
      <c r="WJF66" s="5"/>
      <c r="WJG66" s="5"/>
      <c r="WJH66" s="5"/>
      <c r="WJI66" s="5"/>
      <c r="WJJ66" s="5"/>
      <c r="WJK66" s="5"/>
      <c r="WJL66" s="5"/>
      <c r="WJM66" s="5"/>
      <c r="WJN66" s="5"/>
      <c r="WJO66" s="5"/>
      <c r="WJP66" s="5"/>
      <c r="WJQ66" s="5"/>
      <c r="WJR66" s="5"/>
      <c r="WJS66" s="5"/>
      <c r="WJT66" s="5"/>
      <c r="WJU66" s="5"/>
      <c r="WJV66" s="5"/>
      <c r="WJW66" s="5"/>
      <c r="WJX66" s="5"/>
      <c r="WJY66" s="5"/>
      <c r="WJZ66" s="5"/>
      <c r="WKA66" s="5"/>
      <c r="WKB66" s="5"/>
      <c r="WKC66" s="5"/>
      <c r="WKD66" s="5"/>
      <c r="WKE66" s="5"/>
      <c r="WKF66" s="5"/>
      <c r="WKG66" s="5"/>
      <c r="WKH66" s="5"/>
      <c r="WKI66" s="5"/>
      <c r="WKJ66" s="5"/>
      <c r="WKK66" s="5"/>
      <c r="WKL66" s="5"/>
      <c r="WKM66" s="5"/>
      <c r="WKN66" s="5"/>
      <c r="WKO66" s="5"/>
      <c r="WKP66" s="5"/>
      <c r="WKQ66" s="5"/>
      <c r="WKR66" s="5"/>
      <c r="WKS66" s="5"/>
      <c r="WKT66" s="5"/>
      <c r="WKU66" s="5"/>
      <c r="WKV66" s="5"/>
      <c r="WKW66" s="5"/>
      <c r="WKX66" s="5"/>
      <c r="WKY66" s="5"/>
      <c r="WKZ66" s="5"/>
      <c r="WLA66" s="5"/>
      <c r="WLB66" s="5"/>
      <c r="WLC66" s="5"/>
      <c r="WLD66" s="5"/>
      <c r="WLE66" s="5"/>
      <c r="WLF66" s="5"/>
      <c r="WLG66" s="5"/>
      <c r="WLH66" s="5"/>
      <c r="WLI66" s="5"/>
      <c r="WLJ66" s="5"/>
      <c r="WLK66" s="5"/>
      <c r="WLL66" s="5"/>
      <c r="WLM66" s="5"/>
      <c r="WLN66" s="5"/>
      <c r="WLO66" s="5"/>
      <c r="WLP66" s="5"/>
      <c r="WLQ66" s="5"/>
      <c r="WLR66" s="5"/>
      <c r="WLS66" s="5"/>
      <c r="WLT66" s="5"/>
      <c r="WLU66" s="5"/>
      <c r="WLV66" s="5"/>
      <c r="WLW66" s="5"/>
      <c r="WLX66" s="5"/>
      <c r="WLY66" s="5"/>
      <c r="WLZ66" s="5"/>
      <c r="WMA66" s="5"/>
      <c r="WMB66" s="5"/>
      <c r="WMC66" s="5"/>
      <c r="WMD66" s="5"/>
      <c r="WME66" s="5"/>
      <c r="WMF66" s="5"/>
      <c r="WMG66" s="5"/>
      <c r="WMH66" s="5"/>
      <c r="WMI66" s="5"/>
      <c r="WMJ66" s="5"/>
      <c r="WMK66" s="5"/>
      <c r="WML66" s="5"/>
      <c r="WMM66" s="5"/>
      <c r="WMN66" s="5"/>
      <c r="WMO66" s="5"/>
      <c r="WMP66" s="5"/>
      <c r="WMQ66" s="5"/>
      <c r="WMR66" s="5"/>
      <c r="WMS66" s="5"/>
      <c r="WMT66" s="5"/>
      <c r="WMU66" s="5"/>
      <c r="WMV66" s="5"/>
      <c r="WMW66" s="5"/>
      <c r="WMX66" s="5"/>
      <c r="WMY66" s="5"/>
      <c r="WMZ66" s="5"/>
      <c r="WNA66" s="5"/>
      <c r="WNB66" s="5"/>
      <c r="WNC66" s="5"/>
      <c r="WND66" s="5"/>
      <c r="WNE66" s="5"/>
      <c r="WNF66" s="5"/>
      <c r="WNG66" s="5"/>
      <c r="WNH66" s="5"/>
      <c r="WNI66" s="5"/>
      <c r="WNJ66" s="5"/>
      <c r="WNK66" s="5"/>
      <c r="WNL66" s="5"/>
      <c r="WNM66" s="5"/>
      <c r="WNN66" s="5"/>
      <c r="WNO66" s="5"/>
      <c r="WNP66" s="5"/>
      <c r="WNQ66" s="5"/>
      <c r="WNR66" s="5"/>
      <c r="WNS66" s="5"/>
      <c r="WNT66" s="5"/>
      <c r="WNU66" s="5"/>
      <c r="WNV66" s="5"/>
      <c r="WNW66" s="5"/>
      <c r="WNX66" s="5"/>
      <c r="WNY66" s="5"/>
      <c r="WNZ66" s="5"/>
      <c r="WOA66" s="5"/>
      <c r="WOB66" s="5"/>
      <c r="WOC66" s="5"/>
      <c r="WOD66" s="5"/>
      <c r="WOE66" s="5"/>
      <c r="WOF66" s="5"/>
      <c r="WOG66" s="5"/>
      <c r="WOH66" s="5"/>
      <c r="WOI66" s="5"/>
      <c r="WOJ66" s="5"/>
      <c r="WOK66" s="5"/>
      <c r="WOL66" s="5"/>
      <c r="WOM66" s="5"/>
      <c r="WON66" s="5"/>
      <c r="WOO66" s="5"/>
      <c r="WOP66" s="5"/>
      <c r="WOQ66" s="5"/>
      <c r="WOR66" s="5"/>
      <c r="WOS66" s="5"/>
      <c r="WOT66" s="5"/>
      <c r="WOU66" s="5"/>
      <c r="WOV66" s="5"/>
      <c r="WOW66" s="5"/>
      <c r="WOX66" s="5"/>
      <c r="WOY66" s="5"/>
      <c r="WOZ66" s="5"/>
      <c r="WPA66" s="5"/>
      <c r="WPB66" s="5"/>
      <c r="WPC66" s="5"/>
      <c r="WPD66" s="5"/>
      <c r="WPE66" s="5"/>
      <c r="WPF66" s="5"/>
      <c r="WPG66" s="5"/>
      <c r="WPH66" s="5"/>
      <c r="WPI66" s="5"/>
      <c r="WPJ66" s="5"/>
      <c r="WPK66" s="5"/>
      <c r="WPL66" s="5"/>
      <c r="WPM66" s="5"/>
      <c r="WPN66" s="5"/>
      <c r="WPO66" s="5"/>
      <c r="WPP66" s="5"/>
      <c r="WPQ66" s="5"/>
      <c r="WPR66" s="5"/>
      <c r="WPS66" s="5"/>
      <c r="WPT66" s="5"/>
      <c r="WPU66" s="5"/>
      <c r="WPV66" s="5"/>
      <c r="WPW66" s="5"/>
      <c r="WPX66" s="5"/>
      <c r="WPY66" s="5"/>
      <c r="WPZ66" s="5"/>
      <c r="WQA66" s="5"/>
      <c r="WQB66" s="5"/>
      <c r="WQC66" s="5"/>
      <c r="WQD66" s="5"/>
      <c r="WQE66" s="5"/>
      <c r="WQF66" s="5"/>
      <c r="WQG66" s="5"/>
      <c r="WQH66" s="5"/>
      <c r="WQI66" s="5"/>
      <c r="WQJ66" s="5"/>
      <c r="WQK66" s="5"/>
      <c r="WQL66" s="5"/>
      <c r="WQM66" s="5"/>
      <c r="WQN66" s="5"/>
      <c r="WQO66" s="5"/>
      <c r="WQP66" s="5"/>
      <c r="WQQ66" s="5"/>
      <c r="WQR66" s="5"/>
      <c r="WQS66" s="5"/>
      <c r="WQT66" s="5"/>
      <c r="WQU66" s="5"/>
      <c r="WQV66" s="5"/>
      <c r="WQW66" s="5"/>
      <c r="WQX66" s="5"/>
      <c r="WQY66" s="5"/>
      <c r="WQZ66" s="5"/>
      <c r="WRA66" s="5"/>
      <c r="WRB66" s="5"/>
      <c r="WRC66" s="5"/>
      <c r="WRD66" s="5"/>
      <c r="WRE66" s="5"/>
      <c r="WRF66" s="5"/>
      <c r="WRG66" s="5"/>
      <c r="WRH66" s="5"/>
      <c r="WRI66" s="5"/>
      <c r="WRJ66" s="5"/>
      <c r="WRK66" s="5"/>
      <c r="WRL66" s="5"/>
      <c r="WRM66" s="5"/>
      <c r="WRN66" s="5"/>
      <c r="WRO66" s="5"/>
      <c r="WRP66" s="5"/>
      <c r="WRQ66" s="5"/>
      <c r="WRR66" s="5"/>
      <c r="WRS66" s="5"/>
      <c r="WRT66" s="5"/>
      <c r="WRU66" s="5"/>
      <c r="WRV66" s="5"/>
      <c r="WRW66" s="5"/>
      <c r="WRX66" s="5"/>
      <c r="WRY66" s="5"/>
      <c r="WRZ66" s="5"/>
      <c r="WSA66" s="5"/>
      <c r="WSB66" s="5"/>
      <c r="WSC66" s="5"/>
      <c r="WSD66" s="5"/>
      <c r="WSE66" s="5"/>
      <c r="WSF66" s="5"/>
      <c r="WSG66" s="5"/>
      <c r="WSH66" s="5"/>
      <c r="WSI66" s="5"/>
      <c r="WSJ66" s="5"/>
      <c r="WSK66" s="5"/>
      <c r="WSL66" s="5"/>
      <c r="WSM66" s="5"/>
      <c r="WSN66" s="5"/>
      <c r="WSO66" s="5"/>
      <c r="WSP66" s="5"/>
      <c r="WSQ66" s="5"/>
      <c r="WSR66" s="5"/>
      <c r="WSS66" s="5"/>
      <c r="WST66" s="5"/>
      <c r="WSU66" s="5"/>
      <c r="WSV66" s="5"/>
      <c r="WSW66" s="5"/>
      <c r="WSX66" s="5"/>
      <c r="WSY66" s="5"/>
      <c r="WSZ66" s="5"/>
      <c r="WTA66" s="5"/>
      <c r="WTB66" s="5"/>
      <c r="WTC66" s="5"/>
      <c r="WTD66" s="5"/>
      <c r="WTE66" s="5"/>
      <c r="WTF66" s="5"/>
      <c r="WTG66" s="5"/>
      <c r="WTH66" s="5"/>
      <c r="WTI66" s="5"/>
      <c r="WTJ66" s="5"/>
      <c r="WTK66" s="5"/>
      <c r="WTL66" s="5"/>
      <c r="WTM66" s="5"/>
      <c r="WTN66" s="5"/>
      <c r="WTO66" s="5"/>
      <c r="WTP66" s="5"/>
      <c r="WTQ66" s="5"/>
      <c r="WTR66" s="5"/>
      <c r="WTS66" s="5"/>
      <c r="WTT66" s="5"/>
      <c r="WTU66" s="5"/>
      <c r="WTV66" s="5"/>
      <c r="WTW66" s="5"/>
      <c r="WTX66" s="5"/>
      <c r="WTY66" s="5"/>
      <c r="WTZ66" s="5"/>
      <c r="WUA66" s="5"/>
      <c r="WUB66" s="5"/>
      <c r="WUC66" s="5"/>
      <c r="WUD66" s="5"/>
      <c r="WUE66" s="5"/>
      <c r="WUF66" s="5"/>
      <c r="WUG66" s="5"/>
      <c r="WUH66" s="5"/>
      <c r="WUI66" s="5"/>
      <c r="WUJ66" s="5"/>
      <c r="WUK66" s="5"/>
      <c r="WUL66" s="5"/>
      <c r="WUM66" s="5"/>
      <c r="WUN66" s="5"/>
      <c r="WUO66" s="5"/>
      <c r="WUP66" s="5"/>
      <c r="WUQ66" s="5"/>
      <c r="WUR66" s="5"/>
      <c r="WUS66" s="5"/>
      <c r="WUT66" s="5"/>
      <c r="WUU66" s="5"/>
      <c r="WUV66" s="5"/>
      <c r="WUW66" s="5"/>
      <c r="WUX66" s="5"/>
      <c r="WUY66" s="5"/>
      <c r="WUZ66" s="5"/>
      <c r="WVA66" s="5"/>
      <c r="WVB66" s="5"/>
      <c r="WVC66" s="5"/>
      <c r="WVD66" s="5"/>
      <c r="WVE66" s="5"/>
      <c r="WVF66" s="5"/>
      <c r="WVG66" s="5"/>
      <c r="WVH66" s="5"/>
      <c r="WVI66" s="5"/>
      <c r="WVJ66" s="5"/>
      <c r="WVK66" s="5"/>
      <c r="WVL66" s="5"/>
      <c r="WVM66" s="5"/>
      <c r="WVN66" s="5"/>
      <c r="WVO66" s="5"/>
      <c r="WVP66" s="5"/>
      <c r="WVQ66" s="5"/>
      <c r="WVR66" s="5"/>
      <c r="WVS66" s="5"/>
      <c r="WVT66" s="5"/>
      <c r="WVU66" s="5"/>
      <c r="WVV66" s="5"/>
      <c r="WVW66" s="5"/>
      <c r="WVX66" s="5"/>
      <c r="WVY66" s="5"/>
      <c r="WVZ66" s="5"/>
      <c r="WWA66" s="5"/>
      <c r="WWB66" s="5"/>
      <c r="WWC66" s="5"/>
      <c r="WWD66" s="5"/>
      <c r="WWE66" s="5"/>
      <c r="WWF66" s="5"/>
      <c r="WWG66" s="5"/>
      <c r="WWH66" s="5"/>
      <c r="WWI66" s="5"/>
      <c r="WWJ66" s="5"/>
      <c r="WWK66" s="5"/>
      <c r="WWL66" s="5"/>
      <c r="WWM66" s="5"/>
      <c r="WWN66" s="5"/>
      <c r="WWO66" s="5"/>
      <c r="WWP66" s="5"/>
      <c r="WWQ66" s="5"/>
      <c r="WWR66" s="5"/>
      <c r="WWS66" s="5"/>
      <c r="WWT66" s="5"/>
      <c r="WWU66" s="5"/>
      <c r="WWV66" s="5"/>
      <c r="WWW66" s="5"/>
      <c r="WWX66" s="5"/>
      <c r="WWY66" s="5"/>
      <c r="WWZ66" s="5"/>
      <c r="WXA66" s="5"/>
      <c r="WXB66" s="5"/>
      <c r="WXC66" s="5"/>
      <c r="WXD66" s="5"/>
      <c r="WXE66" s="5"/>
      <c r="WXF66" s="5"/>
      <c r="WXG66" s="5"/>
      <c r="WXH66" s="5"/>
      <c r="WXI66" s="5"/>
      <c r="WXJ66" s="5"/>
      <c r="WXK66" s="5"/>
      <c r="WXL66" s="5"/>
      <c r="WXM66" s="5"/>
      <c r="WXN66" s="5"/>
      <c r="WXO66" s="5"/>
      <c r="WXP66" s="5"/>
      <c r="WXQ66" s="5"/>
      <c r="WXR66" s="5"/>
      <c r="WXS66" s="5"/>
      <c r="WXT66" s="5"/>
      <c r="WXU66" s="5"/>
      <c r="WXV66" s="5"/>
      <c r="WXW66" s="5"/>
      <c r="WXX66" s="5"/>
      <c r="WXY66" s="5"/>
      <c r="WXZ66" s="5"/>
      <c r="WYA66" s="5"/>
      <c r="WYB66" s="5"/>
      <c r="WYC66" s="5"/>
      <c r="WYD66" s="5"/>
      <c r="WYE66" s="5"/>
      <c r="WYF66" s="5"/>
      <c r="WYG66" s="5"/>
      <c r="WYH66" s="5"/>
      <c r="WYI66" s="5"/>
      <c r="WYJ66" s="5"/>
      <c r="WYK66" s="5"/>
      <c r="WYL66" s="5"/>
      <c r="WYM66" s="5"/>
      <c r="WYN66" s="5"/>
      <c r="WYO66" s="5"/>
      <c r="WYP66" s="5"/>
      <c r="WYQ66" s="5"/>
      <c r="WYR66" s="5"/>
      <c r="WYS66" s="5"/>
      <c r="WYT66" s="5"/>
      <c r="WYU66" s="5"/>
      <c r="WYV66" s="5"/>
      <c r="WYW66" s="5"/>
      <c r="WYX66" s="5"/>
      <c r="WYY66" s="5"/>
      <c r="WYZ66" s="5"/>
      <c r="WZA66" s="5"/>
      <c r="WZB66" s="5"/>
      <c r="WZC66" s="5"/>
      <c r="WZD66" s="5"/>
      <c r="WZE66" s="5"/>
      <c r="WZF66" s="5"/>
      <c r="WZG66" s="5"/>
      <c r="WZH66" s="5"/>
      <c r="WZI66" s="5"/>
      <c r="WZJ66" s="5"/>
      <c r="WZK66" s="5"/>
      <c r="WZL66" s="5"/>
      <c r="WZM66" s="5"/>
      <c r="WZN66" s="5"/>
      <c r="WZO66" s="5"/>
      <c r="WZP66" s="5"/>
      <c r="WZQ66" s="5"/>
      <c r="WZR66" s="5"/>
      <c r="WZS66" s="5"/>
      <c r="WZT66" s="5"/>
      <c r="WZU66" s="5"/>
      <c r="WZV66" s="5"/>
      <c r="WZW66" s="5"/>
      <c r="WZX66" s="5"/>
      <c r="WZY66" s="5"/>
      <c r="WZZ66" s="5"/>
      <c r="XAA66" s="5"/>
      <c r="XAB66" s="5"/>
      <c r="XAC66" s="5"/>
      <c r="XAD66" s="5"/>
      <c r="XAE66" s="5"/>
      <c r="XAF66" s="5"/>
      <c r="XAG66" s="5"/>
      <c r="XAH66" s="5"/>
      <c r="XAI66" s="5"/>
      <c r="XAJ66" s="5"/>
      <c r="XAK66" s="5"/>
      <c r="XAL66" s="5"/>
      <c r="XAM66" s="5"/>
      <c r="XAN66" s="5"/>
      <c r="XAO66" s="5"/>
      <c r="XAP66" s="5"/>
      <c r="XAQ66" s="5"/>
      <c r="XAR66" s="5"/>
      <c r="XAS66" s="5"/>
      <c r="XAT66" s="5"/>
      <c r="XAU66" s="5"/>
      <c r="XAV66" s="5"/>
      <c r="XAW66" s="5"/>
      <c r="XAX66" s="5"/>
      <c r="XAY66" s="5"/>
      <c r="XAZ66" s="5"/>
      <c r="XBA66" s="5"/>
      <c r="XBB66" s="5"/>
      <c r="XBC66" s="5"/>
      <c r="XBD66" s="5"/>
      <c r="XBE66" s="5"/>
      <c r="XBF66" s="5"/>
      <c r="XBG66" s="5"/>
      <c r="XBH66" s="5"/>
      <c r="XBI66" s="5"/>
      <c r="XBJ66" s="5"/>
      <c r="XBK66" s="5"/>
      <c r="XBL66" s="5"/>
      <c r="XBM66" s="5"/>
      <c r="XBN66" s="5"/>
      <c r="XBO66" s="5"/>
      <c r="XBP66" s="5"/>
      <c r="XBQ66" s="5"/>
      <c r="XBR66" s="5"/>
      <c r="XBS66" s="5"/>
      <c r="XBT66" s="5"/>
      <c r="XBU66" s="5"/>
      <c r="XBV66" s="5"/>
      <c r="XBW66" s="5"/>
      <c r="XBX66" s="5"/>
      <c r="XBY66" s="5"/>
      <c r="XBZ66" s="5"/>
      <c r="XCA66" s="5"/>
      <c r="XCB66" s="5"/>
      <c r="XCC66" s="5"/>
      <c r="XCD66" s="5"/>
      <c r="XCE66" s="5"/>
      <c r="XCF66" s="5"/>
      <c r="XCG66" s="5"/>
      <c r="XCH66" s="5"/>
      <c r="XCI66" s="5"/>
      <c r="XCJ66" s="5"/>
      <c r="XCK66" s="5"/>
      <c r="XCL66" s="5"/>
      <c r="XCM66" s="5"/>
      <c r="XCN66" s="5"/>
      <c r="XCO66" s="5"/>
      <c r="XCP66" s="5"/>
      <c r="XCQ66" s="5"/>
      <c r="XCR66" s="5"/>
      <c r="XCS66" s="5"/>
      <c r="XCT66" s="5"/>
      <c r="XCU66" s="5"/>
      <c r="XCV66" s="5"/>
      <c r="XCW66" s="5"/>
      <c r="XCX66" s="5"/>
      <c r="XCY66" s="5"/>
      <c r="XCZ66" s="5"/>
      <c r="XDA66" s="5"/>
      <c r="XDB66" s="5"/>
      <c r="XDC66" s="5"/>
      <c r="XDD66" s="5"/>
      <c r="XDE66" s="5"/>
      <c r="XDF66" s="5"/>
      <c r="XDG66" s="5"/>
      <c r="XDH66" s="5"/>
      <c r="XDI66" s="5"/>
      <c r="XDJ66" s="5"/>
      <c r="XDK66" s="5"/>
      <c r="XDL66" s="5"/>
      <c r="XDM66" s="5"/>
      <c r="XDN66" s="5"/>
      <c r="XDO66" s="5"/>
      <c r="XDP66" s="5"/>
      <c r="XDQ66" s="5"/>
      <c r="XDR66" s="5"/>
      <c r="XDS66" s="5"/>
      <c r="XDT66" s="5"/>
      <c r="XDU66" s="5"/>
      <c r="XDV66" s="5"/>
      <c r="XDW66" s="5"/>
      <c r="XDX66" s="5"/>
      <c r="XDY66" s="5"/>
      <c r="XDZ66" s="5"/>
      <c r="XEA66" s="5"/>
      <c r="XEB66" s="5"/>
      <c r="XEC66" s="5"/>
    </row>
    <row r="67" spans="1:16357" s="4" customFormat="1" ht="28.5" customHeight="1">
      <c r="A67" s="5"/>
      <c r="B67" s="5"/>
      <c r="I67" s="58"/>
      <c r="Y67" s="39"/>
      <c r="AD67" s="39"/>
      <c r="AI67" s="39"/>
      <c r="AK67" s="91"/>
      <c r="AL67" s="5"/>
      <c r="AO67" s="39"/>
      <c r="AT67" s="39"/>
      <c r="AY67" s="39"/>
      <c r="BD67" s="39"/>
      <c r="BF67" s="637"/>
      <c r="BI67" s="39"/>
      <c r="BK67" s="631"/>
      <c r="BN67" s="39"/>
      <c r="BP67" s="631"/>
      <c r="BS67" s="39"/>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c r="DK67" s="5"/>
      <c r="DL67" s="5"/>
      <c r="DM67" s="5"/>
      <c r="DN67" s="5"/>
      <c r="DO67" s="5"/>
      <c r="DP67" s="5"/>
      <c r="DQ67" s="5"/>
      <c r="DR67" s="5"/>
      <c r="DS67" s="5"/>
      <c r="DT67" s="5"/>
      <c r="DU67" s="5"/>
      <c r="DV67" s="5"/>
      <c r="DW67" s="5"/>
      <c r="DX67" s="5"/>
      <c r="DY67" s="5"/>
      <c r="DZ67" s="5"/>
      <c r="EA67" s="5"/>
      <c r="EB67" s="5"/>
      <c r="EC67" s="5"/>
      <c r="ED67" s="5"/>
      <c r="EE67" s="5"/>
      <c r="EF67" s="5"/>
      <c r="EG67" s="5"/>
      <c r="EH67" s="5"/>
      <c r="EI67" s="5"/>
      <c r="EJ67" s="5"/>
      <c r="EK67" s="5"/>
      <c r="EL67" s="5"/>
      <c r="EM67" s="5"/>
      <c r="EN67" s="5"/>
      <c r="EO67" s="5"/>
      <c r="EP67" s="5"/>
      <c r="EQ67" s="5"/>
      <c r="ER67" s="5"/>
      <c r="ES67" s="5"/>
      <c r="ET67" s="5"/>
      <c r="EU67" s="5"/>
      <c r="EV67" s="5"/>
      <c r="EW67" s="5"/>
      <c r="EX67" s="5"/>
      <c r="EY67" s="5"/>
      <c r="EZ67" s="5"/>
      <c r="FA67" s="5"/>
      <c r="FB67" s="5"/>
      <c r="FC67" s="5"/>
      <c r="FD67" s="5"/>
      <c r="FE67" s="5"/>
      <c r="FF67" s="5"/>
      <c r="FG67" s="5"/>
      <c r="FH67" s="5"/>
      <c r="FI67" s="5"/>
      <c r="FJ67" s="5"/>
      <c r="FK67" s="5"/>
      <c r="FL67" s="5"/>
      <c r="FM67" s="5"/>
      <c r="FN67" s="5"/>
      <c r="FO67" s="5"/>
      <c r="FP67" s="5"/>
      <c r="FQ67" s="5"/>
      <c r="FR67" s="5"/>
      <c r="FS67" s="5"/>
      <c r="FT67" s="5"/>
      <c r="FU67" s="5"/>
      <c r="FV67" s="5"/>
      <c r="FW67" s="5"/>
      <c r="FX67" s="5"/>
      <c r="FY67" s="5"/>
      <c r="FZ67" s="5"/>
      <c r="GA67" s="5"/>
      <c r="GB67" s="5"/>
      <c r="GC67" s="5"/>
      <c r="GD67" s="5"/>
      <c r="GE67" s="5"/>
      <c r="GF67" s="5"/>
      <c r="GG67" s="5"/>
      <c r="GH67" s="5"/>
      <c r="GI67" s="5"/>
      <c r="GJ67" s="5"/>
      <c r="GK67" s="5"/>
      <c r="GL67" s="5"/>
      <c r="GM67" s="5"/>
      <c r="GN67" s="5"/>
      <c r="GO67" s="5"/>
      <c r="GP67" s="5"/>
      <c r="GQ67" s="5"/>
      <c r="GR67" s="5"/>
      <c r="GS67" s="5"/>
      <c r="GT67" s="5"/>
      <c r="GU67" s="5"/>
      <c r="GV67" s="5"/>
      <c r="GW67" s="5"/>
      <c r="GX67" s="5"/>
      <c r="GY67" s="5"/>
      <c r="GZ67" s="5"/>
      <c r="HA67" s="5"/>
      <c r="HB67" s="5"/>
      <c r="HC67" s="5"/>
      <c r="HD67" s="5"/>
      <c r="HE67" s="5"/>
      <c r="HF67" s="5"/>
      <c r="HG67" s="5"/>
      <c r="HH67" s="5"/>
      <c r="HI67" s="5"/>
      <c r="HJ67" s="5"/>
      <c r="HK67" s="5"/>
      <c r="HL67" s="5"/>
      <c r="HM67" s="5"/>
      <c r="HN67" s="5"/>
      <c r="HO67" s="5"/>
      <c r="HP67" s="5"/>
      <c r="HQ67" s="5"/>
      <c r="HR67" s="5"/>
      <c r="HS67" s="5"/>
      <c r="HT67" s="5"/>
      <c r="HU67" s="5"/>
      <c r="HV67" s="5"/>
      <c r="HW67" s="5"/>
      <c r="HX67" s="5"/>
      <c r="HY67" s="5"/>
      <c r="HZ67" s="5"/>
      <c r="IA67" s="5"/>
      <c r="IB67" s="5"/>
      <c r="IC67" s="5"/>
      <c r="ID67" s="5"/>
      <c r="IE67" s="5"/>
      <c r="IF67" s="5"/>
      <c r="IG67" s="5"/>
      <c r="IH67" s="5"/>
      <c r="II67" s="5"/>
      <c r="IJ67" s="5"/>
      <c r="IK67" s="5"/>
      <c r="IL67" s="5"/>
      <c r="IM67" s="5"/>
      <c r="IN67" s="5"/>
      <c r="IO67" s="5"/>
      <c r="IP67" s="5"/>
      <c r="IQ67" s="5"/>
      <c r="IR67" s="5"/>
      <c r="IS67" s="5"/>
      <c r="IT67" s="5"/>
      <c r="IU67" s="5"/>
      <c r="IV67" s="5"/>
      <c r="IW67" s="5"/>
      <c r="IX67" s="5"/>
      <c r="IY67" s="5"/>
      <c r="IZ67" s="5"/>
      <c r="JA67" s="5"/>
      <c r="JB67" s="5"/>
      <c r="JC67" s="5"/>
      <c r="JD67" s="5"/>
      <c r="JE67" s="5"/>
      <c r="JF67" s="5"/>
      <c r="JG67" s="5"/>
      <c r="JH67" s="5"/>
      <c r="JI67" s="5"/>
      <c r="JJ67" s="5"/>
      <c r="JK67" s="5"/>
      <c r="JL67" s="5"/>
      <c r="JM67" s="5"/>
      <c r="JN67" s="5"/>
      <c r="JO67" s="5"/>
      <c r="JP67" s="5"/>
      <c r="JQ67" s="5"/>
      <c r="JR67" s="5"/>
      <c r="JS67" s="5"/>
      <c r="JT67" s="5"/>
      <c r="JU67" s="5"/>
      <c r="JV67" s="5"/>
      <c r="JW67" s="5"/>
      <c r="JX67" s="5"/>
      <c r="JY67" s="5"/>
      <c r="JZ67" s="5"/>
      <c r="KA67" s="5"/>
      <c r="KB67" s="5"/>
      <c r="KC67" s="5"/>
      <c r="KD67" s="5"/>
      <c r="KE67" s="5"/>
      <c r="KF67" s="5"/>
      <c r="KG67" s="5"/>
      <c r="KH67" s="5"/>
      <c r="KI67" s="5"/>
      <c r="KJ67" s="5"/>
      <c r="KK67" s="5"/>
      <c r="KL67" s="5"/>
      <c r="KM67" s="5"/>
      <c r="KN67" s="5"/>
      <c r="KO67" s="5"/>
      <c r="KP67" s="5"/>
      <c r="KQ67" s="5"/>
      <c r="KR67" s="5"/>
      <c r="KS67" s="5"/>
      <c r="KT67" s="5"/>
      <c r="KU67" s="5"/>
      <c r="KV67" s="5"/>
      <c r="KW67" s="5"/>
      <c r="KX67" s="5"/>
      <c r="KY67" s="5"/>
      <c r="KZ67" s="5"/>
      <c r="LA67" s="5"/>
      <c r="LB67" s="5"/>
      <c r="LC67" s="5"/>
      <c r="LD67" s="5"/>
      <c r="LE67" s="5"/>
      <c r="LF67" s="5"/>
      <c r="LG67" s="5"/>
      <c r="LH67" s="5"/>
      <c r="LI67" s="5"/>
      <c r="LJ67" s="5"/>
      <c r="LK67" s="5"/>
      <c r="LL67" s="5"/>
      <c r="LM67" s="5"/>
      <c r="LN67" s="5"/>
      <c r="LO67" s="5"/>
      <c r="LP67" s="5"/>
      <c r="LQ67" s="5"/>
      <c r="LR67" s="5"/>
      <c r="LS67" s="5"/>
      <c r="LT67" s="5"/>
      <c r="LU67" s="5"/>
      <c r="LV67" s="5"/>
      <c r="LW67" s="5"/>
      <c r="LX67" s="5"/>
      <c r="LY67" s="5"/>
      <c r="LZ67" s="5"/>
      <c r="MA67" s="5"/>
      <c r="MB67" s="5"/>
      <c r="MC67" s="5"/>
      <c r="MD67" s="5"/>
      <c r="ME67" s="5"/>
      <c r="MF67" s="5"/>
      <c r="MG67" s="5"/>
      <c r="MH67" s="5"/>
      <c r="MI67" s="5"/>
      <c r="MJ67" s="5"/>
      <c r="MK67" s="5"/>
      <c r="ML67" s="5"/>
      <c r="MM67" s="5"/>
      <c r="MN67" s="5"/>
      <c r="MO67" s="5"/>
      <c r="MP67" s="5"/>
      <c r="MQ67" s="5"/>
      <c r="MR67" s="5"/>
      <c r="MS67" s="5"/>
      <c r="MT67" s="5"/>
      <c r="MU67" s="5"/>
      <c r="MV67" s="5"/>
      <c r="MW67" s="5"/>
      <c r="MX67" s="5"/>
      <c r="MY67" s="5"/>
      <c r="MZ67" s="5"/>
      <c r="NA67" s="5"/>
      <c r="NB67" s="5"/>
      <c r="NC67" s="5"/>
      <c r="ND67" s="5"/>
      <c r="NE67" s="5"/>
      <c r="NF67" s="5"/>
      <c r="NG67" s="5"/>
      <c r="NH67" s="5"/>
      <c r="NI67" s="5"/>
      <c r="NJ67" s="5"/>
      <c r="NK67" s="5"/>
      <c r="NL67" s="5"/>
      <c r="NM67" s="5"/>
      <c r="NN67" s="5"/>
      <c r="NO67" s="5"/>
      <c r="NP67" s="5"/>
      <c r="NQ67" s="5"/>
      <c r="NR67" s="5"/>
      <c r="NS67" s="5"/>
      <c r="NT67" s="5"/>
      <c r="NU67" s="5"/>
      <c r="NV67" s="5"/>
      <c r="NW67" s="5"/>
      <c r="NX67" s="5"/>
      <c r="NY67" s="5"/>
      <c r="NZ67" s="5"/>
      <c r="OA67" s="5"/>
      <c r="OB67" s="5"/>
      <c r="OC67" s="5"/>
      <c r="OD67" s="5"/>
      <c r="OE67" s="5"/>
      <c r="OF67" s="5"/>
      <c r="OG67" s="5"/>
      <c r="OH67" s="5"/>
      <c r="OI67" s="5"/>
      <c r="OJ67" s="5"/>
      <c r="OK67" s="5"/>
      <c r="OL67" s="5"/>
      <c r="OM67" s="5"/>
      <c r="ON67" s="5"/>
      <c r="OO67" s="5"/>
      <c r="OP67" s="5"/>
      <c r="OQ67" s="5"/>
      <c r="OR67" s="5"/>
      <c r="OS67" s="5"/>
      <c r="OT67" s="5"/>
      <c r="OU67" s="5"/>
      <c r="OV67" s="5"/>
      <c r="OW67" s="5"/>
      <c r="OX67" s="5"/>
      <c r="OY67" s="5"/>
      <c r="OZ67" s="5"/>
      <c r="PA67" s="5"/>
      <c r="PB67" s="5"/>
      <c r="PC67" s="5"/>
      <c r="PD67" s="5"/>
      <c r="PE67" s="5"/>
      <c r="PF67" s="5"/>
      <c r="PG67" s="5"/>
      <c r="PH67" s="5"/>
      <c r="PI67" s="5"/>
      <c r="PJ67" s="5"/>
      <c r="PK67" s="5"/>
      <c r="PL67" s="5"/>
      <c r="PM67" s="5"/>
      <c r="PN67" s="5"/>
      <c r="PO67" s="5"/>
      <c r="PP67" s="5"/>
      <c r="PQ67" s="5"/>
      <c r="PR67" s="5"/>
      <c r="PS67" s="5"/>
      <c r="PT67" s="5"/>
      <c r="PU67" s="5"/>
      <c r="PV67" s="5"/>
      <c r="PW67" s="5"/>
      <c r="PX67" s="5"/>
      <c r="PY67" s="5"/>
      <c r="PZ67" s="5"/>
      <c r="QA67" s="5"/>
      <c r="QB67" s="5"/>
      <c r="QC67" s="5"/>
      <c r="QD67" s="5"/>
      <c r="QE67" s="5"/>
      <c r="QF67" s="5"/>
      <c r="QG67" s="5"/>
      <c r="QH67" s="5"/>
      <c r="QI67" s="5"/>
      <c r="QJ67" s="5"/>
      <c r="QK67" s="5"/>
      <c r="QL67" s="5"/>
      <c r="QM67" s="5"/>
      <c r="QN67" s="5"/>
      <c r="QO67" s="5"/>
      <c r="QP67" s="5"/>
      <c r="QQ67" s="5"/>
      <c r="QR67" s="5"/>
      <c r="QS67" s="5"/>
      <c r="QT67" s="5"/>
      <c r="QU67" s="5"/>
      <c r="QV67" s="5"/>
      <c r="QW67" s="5"/>
      <c r="QX67" s="5"/>
      <c r="QY67" s="5"/>
      <c r="QZ67" s="5"/>
      <c r="RA67" s="5"/>
      <c r="RB67" s="5"/>
      <c r="RC67" s="5"/>
      <c r="RD67" s="5"/>
      <c r="RE67" s="5"/>
      <c r="RF67" s="5"/>
      <c r="RG67" s="5"/>
      <c r="RH67" s="5"/>
      <c r="RI67" s="5"/>
      <c r="RJ67" s="5"/>
      <c r="RK67" s="5"/>
      <c r="RL67" s="5"/>
      <c r="RM67" s="5"/>
      <c r="RN67" s="5"/>
      <c r="RO67" s="5"/>
      <c r="RP67" s="5"/>
      <c r="RQ67" s="5"/>
      <c r="RR67" s="5"/>
      <c r="RS67" s="5"/>
      <c r="RT67" s="5"/>
      <c r="RU67" s="5"/>
      <c r="RV67" s="5"/>
      <c r="RW67" s="5"/>
      <c r="RX67" s="5"/>
      <c r="RY67" s="5"/>
      <c r="RZ67" s="5"/>
      <c r="SA67" s="5"/>
      <c r="SB67" s="5"/>
      <c r="SC67" s="5"/>
      <c r="SD67" s="5"/>
      <c r="SE67" s="5"/>
      <c r="SF67" s="5"/>
      <c r="SG67" s="5"/>
      <c r="SH67" s="5"/>
      <c r="SI67" s="5"/>
      <c r="SJ67" s="5"/>
      <c r="SK67" s="5"/>
      <c r="SL67" s="5"/>
      <c r="SM67" s="5"/>
      <c r="SN67" s="5"/>
      <c r="SO67" s="5"/>
      <c r="SP67" s="5"/>
      <c r="SQ67" s="5"/>
      <c r="SR67" s="5"/>
      <c r="SS67" s="5"/>
      <c r="ST67" s="5"/>
      <c r="SU67" s="5"/>
      <c r="SV67" s="5"/>
      <c r="SW67" s="5"/>
      <c r="SX67" s="5"/>
      <c r="SY67" s="5"/>
      <c r="SZ67" s="5"/>
      <c r="TA67" s="5"/>
      <c r="TB67" s="5"/>
      <c r="TC67" s="5"/>
      <c r="TD67" s="5"/>
      <c r="TE67" s="5"/>
      <c r="TF67" s="5"/>
      <c r="TG67" s="5"/>
      <c r="TH67" s="5"/>
      <c r="TI67" s="5"/>
      <c r="TJ67" s="5"/>
      <c r="TK67" s="5"/>
      <c r="TL67" s="5"/>
      <c r="TM67" s="5"/>
      <c r="TN67" s="5"/>
      <c r="TO67" s="5"/>
      <c r="TP67" s="5"/>
      <c r="TQ67" s="5"/>
      <c r="TR67" s="5"/>
      <c r="TS67" s="5"/>
      <c r="TT67" s="5"/>
      <c r="TU67" s="5"/>
      <c r="TV67" s="5"/>
      <c r="TW67" s="5"/>
      <c r="TX67" s="5"/>
      <c r="TY67" s="5"/>
      <c r="TZ67" s="5"/>
      <c r="UA67" s="5"/>
      <c r="UB67" s="5"/>
      <c r="UC67" s="5"/>
      <c r="UD67" s="5"/>
      <c r="UE67" s="5"/>
      <c r="UF67" s="5"/>
      <c r="UG67" s="5"/>
      <c r="UH67" s="5"/>
      <c r="UI67" s="5"/>
      <c r="UJ67" s="5"/>
      <c r="UK67" s="5"/>
      <c r="UL67" s="5"/>
      <c r="UM67" s="5"/>
      <c r="UN67" s="5"/>
      <c r="UO67" s="5"/>
      <c r="UP67" s="5"/>
      <c r="UQ67" s="5"/>
      <c r="UR67" s="5"/>
      <c r="US67" s="5"/>
      <c r="UT67" s="5"/>
      <c r="UU67" s="5"/>
      <c r="UV67" s="5"/>
      <c r="UW67" s="5"/>
      <c r="UX67" s="5"/>
      <c r="UY67" s="5"/>
      <c r="UZ67" s="5"/>
      <c r="VA67" s="5"/>
      <c r="VB67" s="5"/>
      <c r="VC67" s="5"/>
      <c r="VD67" s="5"/>
      <c r="VE67" s="5"/>
      <c r="VF67" s="5"/>
      <c r="VG67" s="5"/>
      <c r="VH67" s="5"/>
      <c r="VI67" s="5"/>
      <c r="VJ67" s="5"/>
      <c r="VK67" s="5"/>
      <c r="VL67" s="5"/>
      <c r="VM67" s="5"/>
      <c r="VN67" s="5"/>
      <c r="VO67" s="5"/>
      <c r="VP67" s="5"/>
      <c r="VQ67" s="5"/>
      <c r="VR67" s="5"/>
      <c r="VS67" s="5"/>
      <c r="VT67" s="5"/>
      <c r="VU67" s="5"/>
      <c r="VV67" s="5"/>
      <c r="VW67" s="5"/>
      <c r="VX67" s="5"/>
      <c r="VY67" s="5"/>
      <c r="VZ67" s="5"/>
      <c r="WA67" s="5"/>
      <c r="WB67" s="5"/>
      <c r="WC67" s="5"/>
      <c r="WD67" s="5"/>
      <c r="WE67" s="5"/>
      <c r="WF67" s="5"/>
      <c r="WG67" s="5"/>
      <c r="WH67" s="5"/>
      <c r="WI67" s="5"/>
      <c r="WJ67" s="5"/>
      <c r="WK67" s="5"/>
      <c r="WL67" s="5"/>
      <c r="WM67" s="5"/>
      <c r="WN67" s="5"/>
      <c r="WO67" s="5"/>
      <c r="WP67" s="5"/>
      <c r="WQ67" s="5"/>
      <c r="WR67" s="5"/>
      <c r="WS67" s="5"/>
      <c r="WT67" s="5"/>
      <c r="WU67" s="5"/>
      <c r="WV67" s="5"/>
      <c r="WW67" s="5"/>
      <c r="WX67" s="5"/>
      <c r="WY67" s="5"/>
      <c r="WZ67" s="5"/>
      <c r="XA67" s="5"/>
      <c r="XB67" s="5"/>
      <c r="XC67" s="5"/>
      <c r="XD67" s="5"/>
      <c r="XE67" s="5"/>
      <c r="XF67" s="5"/>
      <c r="XG67" s="5"/>
      <c r="XH67" s="5"/>
      <c r="XI67" s="5"/>
      <c r="XJ67" s="5"/>
      <c r="XK67" s="5"/>
      <c r="XL67" s="5"/>
      <c r="XM67" s="5"/>
      <c r="XN67" s="5"/>
      <c r="XO67" s="5"/>
      <c r="XP67" s="5"/>
      <c r="XQ67" s="5"/>
      <c r="XR67" s="5"/>
      <c r="XS67" s="5"/>
      <c r="XT67" s="5"/>
      <c r="XU67" s="5"/>
      <c r="XV67" s="5"/>
      <c r="XW67" s="5"/>
      <c r="XX67" s="5"/>
      <c r="XY67" s="5"/>
      <c r="XZ67" s="5"/>
      <c r="YA67" s="5"/>
      <c r="YB67" s="5"/>
      <c r="YC67" s="5"/>
      <c r="YD67" s="5"/>
      <c r="YE67" s="5"/>
      <c r="YF67" s="5"/>
      <c r="YG67" s="5"/>
      <c r="YH67" s="5"/>
      <c r="YI67" s="5"/>
      <c r="YJ67" s="5"/>
      <c r="YK67" s="5"/>
      <c r="YL67" s="5"/>
      <c r="YM67" s="5"/>
      <c r="YN67" s="5"/>
      <c r="YO67" s="5"/>
      <c r="YP67" s="5"/>
      <c r="YQ67" s="5"/>
      <c r="YR67" s="5"/>
      <c r="YS67" s="5"/>
      <c r="YT67" s="5"/>
      <c r="YU67" s="5"/>
      <c r="YV67" s="5"/>
      <c r="YW67" s="5"/>
      <c r="YX67" s="5"/>
      <c r="YY67" s="5"/>
      <c r="YZ67" s="5"/>
      <c r="ZA67" s="5"/>
      <c r="ZB67" s="5"/>
      <c r="ZC67" s="5"/>
      <c r="ZD67" s="5"/>
      <c r="ZE67" s="5"/>
      <c r="ZF67" s="5"/>
      <c r="ZG67" s="5"/>
      <c r="ZH67" s="5"/>
      <c r="ZI67" s="5"/>
      <c r="ZJ67" s="5"/>
      <c r="ZK67" s="5"/>
      <c r="ZL67" s="5"/>
      <c r="ZM67" s="5"/>
      <c r="ZN67" s="5"/>
      <c r="ZO67" s="5"/>
      <c r="ZP67" s="5"/>
      <c r="ZQ67" s="5"/>
      <c r="ZR67" s="5"/>
      <c r="ZS67" s="5"/>
      <c r="ZT67" s="5"/>
      <c r="ZU67" s="5"/>
      <c r="ZV67" s="5"/>
      <c r="ZW67" s="5"/>
      <c r="ZX67" s="5"/>
      <c r="ZY67" s="5"/>
      <c r="ZZ67" s="5"/>
      <c r="AAA67" s="5"/>
      <c r="AAB67" s="5"/>
      <c r="AAC67" s="5"/>
      <c r="AAD67" s="5"/>
      <c r="AAE67" s="5"/>
      <c r="AAF67" s="5"/>
      <c r="AAG67" s="5"/>
      <c r="AAH67" s="5"/>
      <c r="AAI67" s="5"/>
      <c r="AAJ67" s="5"/>
      <c r="AAK67" s="5"/>
      <c r="AAL67" s="5"/>
      <c r="AAM67" s="5"/>
      <c r="AAN67" s="5"/>
      <c r="AAO67" s="5"/>
      <c r="AAP67" s="5"/>
      <c r="AAQ67" s="5"/>
      <c r="AAR67" s="5"/>
      <c r="AAS67" s="5"/>
      <c r="AAT67" s="5"/>
      <c r="AAU67" s="5"/>
      <c r="AAV67" s="5"/>
      <c r="AAW67" s="5"/>
      <c r="AAX67" s="5"/>
      <c r="AAY67" s="5"/>
      <c r="AAZ67" s="5"/>
      <c r="ABA67" s="5"/>
      <c r="ABB67" s="5"/>
      <c r="ABC67" s="5"/>
      <c r="ABD67" s="5"/>
      <c r="ABE67" s="5"/>
      <c r="ABF67" s="5"/>
      <c r="ABG67" s="5"/>
      <c r="ABH67" s="5"/>
      <c r="ABI67" s="5"/>
      <c r="ABJ67" s="5"/>
      <c r="ABK67" s="5"/>
      <c r="ABL67" s="5"/>
      <c r="ABM67" s="5"/>
      <c r="ABN67" s="5"/>
      <c r="ABO67" s="5"/>
      <c r="ABP67" s="5"/>
      <c r="ABQ67" s="5"/>
      <c r="ABR67" s="5"/>
      <c r="ABS67" s="5"/>
      <c r="ABT67" s="5"/>
      <c r="ABU67" s="5"/>
      <c r="ABV67" s="5"/>
      <c r="ABW67" s="5"/>
      <c r="ABX67" s="5"/>
      <c r="ABY67" s="5"/>
      <c r="ABZ67" s="5"/>
      <c r="ACA67" s="5"/>
      <c r="ACB67" s="5"/>
      <c r="ACC67" s="5"/>
      <c r="ACD67" s="5"/>
      <c r="ACE67" s="5"/>
      <c r="ACF67" s="5"/>
      <c r="ACG67" s="5"/>
      <c r="ACH67" s="5"/>
      <c r="ACI67" s="5"/>
      <c r="ACJ67" s="5"/>
      <c r="ACK67" s="5"/>
      <c r="ACL67" s="5"/>
      <c r="ACM67" s="5"/>
      <c r="ACN67" s="5"/>
      <c r="ACO67" s="5"/>
      <c r="ACP67" s="5"/>
      <c r="ACQ67" s="5"/>
      <c r="ACR67" s="5"/>
      <c r="ACS67" s="5"/>
      <c r="ACT67" s="5"/>
      <c r="ACU67" s="5"/>
      <c r="ACV67" s="5"/>
      <c r="ACW67" s="5"/>
      <c r="ACX67" s="5"/>
      <c r="ACY67" s="5"/>
      <c r="ACZ67" s="5"/>
      <c r="ADA67" s="5"/>
      <c r="ADB67" s="5"/>
      <c r="ADC67" s="5"/>
      <c r="ADD67" s="5"/>
      <c r="ADE67" s="5"/>
      <c r="ADF67" s="5"/>
      <c r="ADG67" s="5"/>
      <c r="ADH67" s="5"/>
      <c r="ADI67" s="5"/>
      <c r="ADJ67" s="5"/>
      <c r="ADK67" s="5"/>
      <c r="ADL67" s="5"/>
      <c r="ADM67" s="5"/>
      <c r="ADN67" s="5"/>
      <c r="ADO67" s="5"/>
      <c r="ADP67" s="5"/>
      <c r="ADQ67" s="5"/>
      <c r="ADR67" s="5"/>
      <c r="ADS67" s="5"/>
      <c r="ADT67" s="5"/>
      <c r="ADU67" s="5"/>
      <c r="ADV67" s="5"/>
      <c r="ADW67" s="5"/>
      <c r="ADX67" s="5"/>
      <c r="ADY67" s="5"/>
      <c r="ADZ67" s="5"/>
      <c r="AEA67" s="5"/>
      <c r="AEB67" s="5"/>
      <c r="AEC67" s="5"/>
      <c r="AED67" s="5"/>
      <c r="AEE67" s="5"/>
      <c r="AEF67" s="5"/>
      <c r="AEG67" s="5"/>
      <c r="AEH67" s="5"/>
      <c r="AEI67" s="5"/>
      <c r="AEJ67" s="5"/>
      <c r="AEK67" s="5"/>
      <c r="AEL67" s="5"/>
      <c r="AEM67" s="5"/>
      <c r="AEN67" s="5"/>
      <c r="AEO67" s="5"/>
      <c r="AEP67" s="5"/>
      <c r="AEQ67" s="5"/>
      <c r="AER67" s="5"/>
      <c r="AES67" s="5"/>
      <c r="AET67" s="5"/>
      <c r="AEU67" s="5"/>
      <c r="AEV67" s="5"/>
      <c r="AEW67" s="5"/>
      <c r="AEX67" s="5"/>
      <c r="AEY67" s="5"/>
      <c r="AEZ67" s="5"/>
      <c r="AFA67" s="5"/>
      <c r="AFB67" s="5"/>
      <c r="AFC67" s="5"/>
      <c r="AFD67" s="5"/>
      <c r="AFE67" s="5"/>
      <c r="AFF67" s="5"/>
      <c r="AFG67" s="5"/>
      <c r="AFH67" s="5"/>
      <c r="AFI67" s="5"/>
      <c r="AFJ67" s="5"/>
      <c r="AFK67" s="5"/>
      <c r="AFL67" s="5"/>
      <c r="AFM67" s="5"/>
      <c r="AFN67" s="5"/>
      <c r="AFO67" s="5"/>
      <c r="AFP67" s="5"/>
      <c r="AFQ67" s="5"/>
      <c r="AFR67" s="5"/>
      <c r="AFS67" s="5"/>
      <c r="AFT67" s="5"/>
      <c r="AFU67" s="5"/>
      <c r="AFV67" s="5"/>
      <c r="AFW67" s="5"/>
      <c r="AFX67" s="5"/>
      <c r="AFY67" s="5"/>
      <c r="AFZ67" s="5"/>
      <c r="AGA67" s="5"/>
      <c r="AGB67" s="5"/>
      <c r="AGC67" s="5"/>
      <c r="AGD67" s="5"/>
      <c r="AGE67" s="5"/>
      <c r="AGF67" s="5"/>
      <c r="AGG67" s="5"/>
      <c r="AGH67" s="5"/>
      <c r="AGI67" s="5"/>
      <c r="AGJ67" s="5"/>
      <c r="AGK67" s="5"/>
      <c r="AGL67" s="5"/>
      <c r="AGM67" s="5"/>
      <c r="AGN67" s="5"/>
      <c r="AGO67" s="5"/>
      <c r="AGP67" s="5"/>
      <c r="AGQ67" s="5"/>
      <c r="AGR67" s="5"/>
      <c r="AGS67" s="5"/>
      <c r="AGT67" s="5"/>
      <c r="AGU67" s="5"/>
      <c r="AGV67" s="5"/>
      <c r="AGW67" s="5"/>
      <c r="AGX67" s="5"/>
      <c r="AGY67" s="5"/>
      <c r="AGZ67" s="5"/>
      <c r="AHA67" s="5"/>
      <c r="AHB67" s="5"/>
      <c r="AHC67" s="5"/>
      <c r="AHD67" s="5"/>
      <c r="AHE67" s="5"/>
      <c r="AHF67" s="5"/>
      <c r="AHG67" s="5"/>
      <c r="AHH67" s="5"/>
      <c r="AHI67" s="5"/>
      <c r="AHJ67" s="5"/>
      <c r="AHK67" s="5"/>
      <c r="AHL67" s="5"/>
      <c r="AHM67" s="5"/>
      <c r="AHN67" s="5"/>
      <c r="AHO67" s="5"/>
      <c r="AHP67" s="5"/>
      <c r="AHQ67" s="5"/>
      <c r="AHR67" s="5"/>
      <c r="AHS67" s="5"/>
      <c r="AHT67" s="5"/>
      <c r="AHU67" s="5"/>
      <c r="AHV67" s="5"/>
      <c r="AHW67" s="5"/>
      <c r="AHX67" s="5"/>
      <c r="AHY67" s="5"/>
      <c r="AHZ67" s="5"/>
      <c r="AIA67" s="5"/>
      <c r="AIB67" s="5"/>
      <c r="AIC67" s="5"/>
      <c r="AID67" s="5"/>
      <c r="AIE67" s="5"/>
      <c r="AIF67" s="5"/>
      <c r="AIG67" s="5"/>
      <c r="AIH67" s="5"/>
      <c r="AII67" s="5"/>
      <c r="AIJ67" s="5"/>
      <c r="AIK67" s="5"/>
      <c r="AIL67" s="5"/>
      <c r="AIM67" s="5"/>
      <c r="AIN67" s="5"/>
      <c r="AIO67" s="5"/>
      <c r="AIP67" s="5"/>
      <c r="AIQ67" s="5"/>
      <c r="AIR67" s="5"/>
      <c r="AIS67" s="5"/>
      <c r="AIT67" s="5"/>
      <c r="AIU67" s="5"/>
      <c r="AIV67" s="5"/>
      <c r="AIW67" s="5"/>
      <c r="AIX67" s="5"/>
      <c r="AIY67" s="5"/>
      <c r="AIZ67" s="5"/>
      <c r="AJA67" s="5"/>
      <c r="AJB67" s="5"/>
      <c r="AJC67" s="5"/>
      <c r="AJD67" s="5"/>
      <c r="AJE67" s="5"/>
      <c r="AJF67" s="5"/>
      <c r="AJG67" s="5"/>
      <c r="AJH67" s="5"/>
      <c r="AJI67" s="5"/>
      <c r="AJJ67" s="5"/>
      <c r="AJK67" s="5"/>
      <c r="AJL67" s="5"/>
      <c r="AJM67" s="5"/>
      <c r="AJN67" s="5"/>
      <c r="AJO67" s="5"/>
      <c r="AJP67" s="5"/>
      <c r="AJQ67" s="5"/>
      <c r="AJR67" s="5"/>
      <c r="AJS67" s="5"/>
      <c r="AJT67" s="5"/>
      <c r="AJU67" s="5"/>
      <c r="AJV67" s="5"/>
      <c r="AJW67" s="5"/>
      <c r="AJX67" s="5"/>
      <c r="AJY67" s="5"/>
      <c r="AJZ67" s="5"/>
      <c r="AKA67" s="5"/>
      <c r="AKB67" s="5"/>
      <c r="AKC67" s="5"/>
      <c r="AKD67" s="5"/>
      <c r="AKE67" s="5"/>
      <c r="AKF67" s="5"/>
      <c r="AKG67" s="5"/>
      <c r="AKH67" s="5"/>
      <c r="AKI67" s="5"/>
      <c r="AKJ67" s="5"/>
      <c r="AKK67" s="5"/>
      <c r="AKL67" s="5"/>
      <c r="AKM67" s="5"/>
      <c r="AKN67" s="5"/>
      <c r="AKO67" s="5"/>
      <c r="AKP67" s="5"/>
      <c r="AKQ67" s="5"/>
      <c r="AKR67" s="5"/>
      <c r="AKS67" s="5"/>
      <c r="AKT67" s="5"/>
      <c r="AKU67" s="5"/>
      <c r="AKV67" s="5"/>
      <c r="AKW67" s="5"/>
      <c r="AKX67" s="5"/>
      <c r="AKY67" s="5"/>
      <c r="AKZ67" s="5"/>
      <c r="ALA67" s="5"/>
      <c r="ALB67" s="5"/>
      <c r="ALC67" s="5"/>
      <c r="ALD67" s="5"/>
      <c r="ALE67" s="5"/>
      <c r="ALF67" s="5"/>
      <c r="ALG67" s="5"/>
      <c r="ALH67" s="5"/>
      <c r="ALI67" s="5"/>
      <c r="ALJ67" s="5"/>
      <c r="ALK67" s="5"/>
      <c r="ALL67" s="5"/>
      <c r="ALM67" s="5"/>
      <c r="ALN67" s="5"/>
      <c r="ALO67" s="5"/>
      <c r="ALP67" s="5"/>
      <c r="ALQ67" s="5"/>
      <c r="ALR67" s="5"/>
      <c r="ALS67" s="5"/>
      <c r="ALT67" s="5"/>
      <c r="ALU67" s="5"/>
      <c r="ALV67" s="5"/>
      <c r="ALW67" s="5"/>
      <c r="ALX67" s="5"/>
      <c r="ALY67" s="5"/>
      <c r="ALZ67" s="5"/>
      <c r="AMA67" s="5"/>
      <c r="AMB67" s="5"/>
      <c r="AMC67" s="5"/>
      <c r="AMD67" s="5"/>
      <c r="AME67" s="5"/>
      <c r="AMF67" s="5"/>
      <c r="AMG67" s="5"/>
      <c r="AMH67" s="5"/>
      <c r="AMI67" s="5"/>
      <c r="AMJ67" s="5"/>
      <c r="AMK67" s="5"/>
      <c r="AML67" s="5"/>
      <c r="AMM67" s="5"/>
      <c r="AMN67" s="5"/>
      <c r="AMO67" s="5"/>
      <c r="AMP67" s="5"/>
      <c r="AMQ67" s="5"/>
      <c r="AMR67" s="5"/>
      <c r="AMS67" s="5"/>
      <c r="AMT67" s="5"/>
      <c r="AMU67" s="5"/>
      <c r="AMV67" s="5"/>
      <c r="AMW67" s="5"/>
      <c r="AMX67" s="5"/>
      <c r="AMY67" s="5"/>
      <c r="AMZ67" s="5"/>
      <c r="ANA67" s="5"/>
      <c r="ANB67" s="5"/>
      <c r="ANC67" s="5"/>
      <c r="AND67" s="5"/>
      <c r="ANE67" s="5"/>
      <c r="ANF67" s="5"/>
      <c r="ANG67" s="5"/>
      <c r="ANH67" s="5"/>
      <c r="ANI67" s="5"/>
      <c r="ANJ67" s="5"/>
      <c r="ANK67" s="5"/>
      <c r="ANL67" s="5"/>
      <c r="ANM67" s="5"/>
      <c r="ANN67" s="5"/>
      <c r="ANO67" s="5"/>
      <c r="ANP67" s="5"/>
      <c r="ANQ67" s="5"/>
      <c r="ANR67" s="5"/>
      <c r="ANS67" s="5"/>
      <c r="ANT67" s="5"/>
      <c r="ANU67" s="5"/>
      <c r="ANV67" s="5"/>
      <c r="ANW67" s="5"/>
      <c r="ANX67" s="5"/>
      <c r="ANY67" s="5"/>
      <c r="ANZ67" s="5"/>
      <c r="AOA67" s="5"/>
      <c r="AOB67" s="5"/>
      <c r="AOC67" s="5"/>
      <c r="AOD67" s="5"/>
      <c r="AOE67" s="5"/>
      <c r="AOF67" s="5"/>
      <c r="AOG67" s="5"/>
      <c r="AOH67" s="5"/>
      <c r="AOI67" s="5"/>
      <c r="AOJ67" s="5"/>
      <c r="AOK67" s="5"/>
      <c r="AOL67" s="5"/>
      <c r="AOM67" s="5"/>
      <c r="AON67" s="5"/>
      <c r="AOO67" s="5"/>
      <c r="AOP67" s="5"/>
      <c r="AOQ67" s="5"/>
      <c r="AOR67" s="5"/>
      <c r="AOS67" s="5"/>
      <c r="AOT67" s="5"/>
      <c r="AOU67" s="5"/>
      <c r="AOV67" s="5"/>
      <c r="AOW67" s="5"/>
      <c r="AOX67" s="5"/>
      <c r="AOY67" s="5"/>
      <c r="AOZ67" s="5"/>
      <c r="APA67" s="5"/>
      <c r="APB67" s="5"/>
      <c r="APC67" s="5"/>
      <c r="APD67" s="5"/>
      <c r="APE67" s="5"/>
      <c r="APF67" s="5"/>
      <c r="APG67" s="5"/>
      <c r="APH67" s="5"/>
      <c r="API67" s="5"/>
      <c r="APJ67" s="5"/>
      <c r="APK67" s="5"/>
      <c r="APL67" s="5"/>
      <c r="APM67" s="5"/>
      <c r="APN67" s="5"/>
      <c r="APO67" s="5"/>
      <c r="APP67" s="5"/>
      <c r="APQ67" s="5"/>
      <c r="APR67" s="5"/>
      <c r="APS67" s="5"/>
      <c r="APT67" s="5"/>
      <c r="APU67" s="5"/>
      <c r="APV67" s="5"/>
      <c r="APW67" s="5"/>
      <c r="APX67" s="5"/>
      <c r="APY67" s="5"/>
      <c r="APZ67" s="5"/>
      <c r="AQA67" s="5"/>
      <c r="AQB67" s="5"/>
      <c r="AQC67" s="5"/>
      <c r="AQD67" s="5"/>
      <c r="AQE67" s="5"/>
      <c r="AQF67" s="5"/>
      <c r="AQG67" s="5"/>
      <c r="AQH67" s="5"/>
      <c r="AQI67" s="5"/>
      <c r="AQJ67" s="5"/>
      <c r="AQK67" s="5"/>
      <c r="AQL67" s="5"/>
      <c r="AQM67" s="5"/>
      <c r="AQN67" s="5"/>
      <c r="AQO67" s="5"/>
      <c r="AQP67" s="5"/>
      <c r="AQQ67" s="5"/>
      <c r="AQR67" s="5"/>
      <c r="AQS67" s="5"/>
      <c r="AQT67" s="5"/>
      <c r="AQU67" s="5"/>
      <c r="AQV67" s="5"/>
      <c r="AQW67" s="5"/>
      <c r="AQX67" s="5"/>
      <c r="AQY67" s="5"/>
      <c r="AQZ67" s="5"/>
      <c r="ARA67" s="5"/>
      <c r="ARB67" s="5"/>
      <c r="ARC67" s="5"/>
      <c r="ARD67" s="5"/>
      <c r="ARE67" s="5"/>
      <c r="ARF67" s="5"/>
      <c r="ARG67" s="5"/>
      <c r="ARH67" s="5"/>
      <c r="ARI67" s="5"/>
      <c r="ARJ67" s="5"/>
      <c r="ARK67" s="5"/>
      <c r="ARL67" s="5"/>
      <c r="ARM67" s="5"/>
      <c r="ARN67" s="5"/>
      <c r="ARO67" s="5"/>
      <c r="ARP67" s="5"/>
      <c r="ARQ67" s="5"/>
      <c r="ARR67" s="5"/>
      <c r="ARS67" s="5"/>
      <c r="ART67" s="5"/>
      <c r="ARU67" s="5"/>
      <c r="ARV67" s="5"/>
      <c r="ARW67" s="5"/>
      <c r="ARX67" s="5"/>
      <c r="ARY67" s="5"/>
      <c r="ARZ67" s="5"/>
      <c r="ASA67" s="5"/>
      <c r="ASB67" s="5"/>
      <c r="ASC67" s="5"/>
      <c r="ASD67" s="5"/>
      <c r="ASE67" s="5"/>
      <c r="ASF67" s="5"/>
      <c r="ASG67" s="5"/>
      <c r="ASH67" s="5"/>
      <c r="ASI67" s="5"/>
      <c r="ASJ67" s="5"/>
      <c r="ASK67" s="5"/>
      <c r="ASL67" s="5"/>
      <c r="ASM67" s="5"/>
      <c r="ASN67" s="5"/>
      <c r="ASO67" s="5"/>
      <c r="ASP67" s="5"/>
      <c r="ASQ67" s="5"/>
      <c r="ASR67" s="5"/>
      <c r="ASS67" s="5"/>
      <c r="AST67" s="5"/>
      <c r="ASU67" s="5"/>
      <c r="ASV67" s="5"/>
      <c r="ASW67" s="5"/>
      <c r="ASX67" s="5"/>
      <c r="ASY67" s="5"/>
      <c r="ASZ67" s="5"/>
      <c r="ATA67" s="5"/>
      <c r="ATB67" s="5"/>
      <c r="ATC67" s="5"/>
      <c r="ATD67" s="5"/>
      <c r="ATE67" s="5"/>
      <c r="ATF67" s="5"/>
      <c r="ATG67" s="5"/>
      <c r="ATH67" s="5"/>
      <c r="ATI67" s="5"/>
      <c r="ATJ67" s="5"/>
      <c r="ATK67" s="5"/>
      <c r="ATL67" s="5"/>
      <c r="ATM67" s="5"/>
      <c r="ATN67" s="5"/>
      <c r="ATO67" s="5"/>
      <c r="ATP67" s="5"/>
      <c r="ATQ67" s="5"/>
      <c r="ATR67" s="5"/>
      <c r="ATS67" s="5"/>
      <c r="ATT67" s="5"/>
      <c r="ATU67" s="5"/>
      <c r="ATV67" s="5"/>
      <c r="ATW67" s="5"/>
      <c r="ATX67" s="5"/>
      <c r="ATY67" s="5"/>
      <c r="ATZ67" s="5"/>
      <c r="AUA67" s="5"/>
      <c r="AUB67" s="5"/>
      <c r="AUC67" s="5"/>
      <c r="AUD67" s="5"/>
      <c r="AUE67" s="5"/>
      <c r="AUF67" s="5"/>
      <c r="AUG67" s="5"/>
      <c r="AUH67" s="5"/>
      <c r="AUI67" s="5"/>
      <c r="AUJ67" s="5"/>
      <c r="AUK67" s="5"/>
      <c r="AUL67" s="5"/>
      <c r="AUM67" s="5"/>
      <c r="AUN67" s="5"/>
      <c r="AUO67" s="5"/>
      <c r="AUP67" s="5"/>
      <c r="AUQ67" s="5"/>
      <c r="AUR67" s="5"/>
      <c r="AUS67" s="5"/>
      <c r="AUT67" s="5"/>
      <c r="AUU67" s="5"/>
      <c r="AUV67" s="5"/>
      <c r="AUW67" s="5"/>
      <c r="AUX67" s="5"/>
      <c r="AUY67" s="5"/>
      <c r="AUZ67" s="5"/>
      <c r="AVA67" s="5"/>
      <c r="AVB67" s="5"/>
      <c r="AVC67" s="5"/>
      <c r="AVD67" s="5"/>
      <c r="AVE67" s="5"/>
      <c r="AVF67" s="5"/>
      <c r="AVG67" s="5"/>
      <c r="AVH67" s="5"/>
      <c r="AVI67" s="5"/>
      <c r="AVJ67" s="5"/>
      <c r="AVK67" s="5"/>
      <c r="AVL67" s="5"/>
      <c r="AVM67" s="5"/>
      <c r="AVN67" s="5"/>
      <c r="AVO67" s="5"/>
      <c r="AVP67" s="5"/>
      <c r="AVQ67" s="5"/>
      <c r="AVR67" s="5"/>
      <c r="AVS67" s="5"/>
      <c r="AVT67" s="5"/>
      <c r="AVU67" s="5"/>
      <c r="AVV67" s="5"/>
      <c r="AVW67" s="5"/>
      <c r="AVX67" s="5"/>
      <c r="AVY67" s="5"/>
      <c r="AVZ67" s="5"/>
      <c r="AWA67" s="5"/>
      <c r="AWB67" s="5"/>
      <c r="AWC67" s="5"/>
      <c r="AWD67" s="5"/>
      <c r="AWE67" s="5"/>
      <c r="AWF67" s="5"/>
      <c r="AWG67" s="5"/>
      <c r="AWH67" s="5"/>
      <c r="AWI67" s="5"/>
      <c r="AWJ67" s="5"/>
      <c r="AWK67" s="5"/>
      <c r="AWL67" s="5"/>
      <c r="AWM67" s="5"/>
      <c r="AWN67" s="5"/>
      <c r="AWO67" s="5"/>
      <c r="AWP67" s="5"/>
      <c r="AWQ67" s="5"/>
      <c r="AWR67" s="5"/>
      <c r="AWS67" s="5"/>
      <c r="AWT67" s="5"/>
      <c r="AWU67" s="5"/>
      <c r="AWV67" s="5"/>
      <c r="AWW67" s="5"/>
      <c r="AWX67" s="5"/>
      <c r="AWY67" s="5"/>
      <c r="AWZ67" s="5"/>
      <c r="AXA67" s="5"/>
      <c r="AXB67" s="5"/>
      <c r="AXC67" s="5"/>
      <c r="AXD67" s="5"/>
      <c r="AXE67" s="5"/>
      <c r="AXF67" s="5"/>
      <c r="AXG67" s="5"/>
      <c r="AXH67" s="5"/>
      <c r="AXI67" s="5"/>
      <c r="AXJ67" s="5"/>
      <c r="AXK67" s="5"/>
      <c r="AXL67" s="5"/>
      <c r="AXM67" s="5"/>
      <c r="AXN67" s="5"/>
      <c r="AXO67" s="5"/>
      <c r="AXP67" s="5"/>
      <c r="AXQ67" s="5"/>
      <c r="AXR67" s="5"/>
      <c r="AXS67" s="5"/>
      <c r="AXT67" s="5"/>
      <c r="AXU67" s="5"/>
      <c r="AXV67" s="5"/>
      <c r="AXW67" s="5"/>
      <c r="AXX67" s="5"/>
      <c r="AXY67" s="5"/>
      <c r="AXZ67" s="5"/>
      <c r="AYA67" s="5"/>
      <c r="AYB67" s="5"/>
      <c r="AYC67" s="5"/>
      <c r="AYD67" s="5"/>
      <c r="AYE67" s="5"/>
      <c r="AYF67" s="5"/>
      <c r="AYG67" s="5"/>
      <c r="AYH67" s="5"/>
      <c r="AYI67" s="5"/>
      <c r="AYJ67" s="5"/>
      <c r="AYK67" s="5"/>
      <c r="AYL67" s="5"/>
      <c r="AYM67" s="5"/>
      <c r="AYN67" s="5"/>
      <c r="AYO67" s="5"/>
      <c r="AYP67" s="5"/>
      <c r="AYQ67" s="5"/>
      <c r="AYR67" s="5"/>
      <c r="AYS67" s="5"/>
      <c r="AYT67" s="5"/>
      <c r="AYU67" s="5"/>
      <c r="AYV67" s="5"/>
      <c r="AYW67" s="5"/>
      <c r="AYX67" s="5"/>
      <c r="AYY67" s="5"/>
      <c r="AYZ67" s="5"/>
      <c r="AZA67" s="5"/>
      <c r="AZB67" s="5"/>
      <c r="AZC67" s="5"/>
      <c r="AZD67" s="5"/>
      <c r="AZE67" s="5"/>
      <c r="AZF67" s="5"/>
      <c r="AZG67" s="5"/>
      <c r="AZH67" s="5"/>
      <c r="AZI67" s="5"/>
      <c r="AZJ67" s="5"/>
      <c r="AZK67" s="5"/>
      <c r="AZL67" s="5"/>
      <c r="AZM67" s="5"/>
      <c r="AZN67" s="5"/>
      <c r="AZO67" s="5"/>
      <c r="AZP67" s="5"/>
      <c r="AZQ67" s="5"/>
      <c r="AZR67" s="5"/>
      <c r="AZS67" s="5"/>
      <c r="AZT67" s="5"/>
      <c r="AZU67" s="5"/>
      <c r="AZV67" s="5"/>
      <c r="AZW67" s="5"/>
      <c r="AZX67" s="5"/>
      <c r="AZY67" s="5"/>
      <c r="AZZ67" s="5"/>
      <c r="BAA67" s="5"/>
      <c r="BAB67" s="5"/>
      <c r="BAC67" s="5"/>
      <c r="BAD67" s="5"/>
      <c r="BAE67" s="5"/>
      <c r="BAF67" s="5"/>
      <c r="BAG67" s="5"/>
      <c r="BAH67" s="5"/>
      <c r="BAI67" s="5"/>
      <c r="BAJ67" s="5"/>
      <c r="BAK67" s="5"/>
      <c r="BAL67" s="5"/>
      <c r="BAM67" s="5"/>
      <c r="BAN67" s="5"/>
      <c r="BAO67" s="5"/>
      <c r="BAP67" s="5"/>
      <c r="BAQ67" s="5"/>
      <c r="BAR67" s="5"/>
      <c r="BAS67" s="5"/>
      <c r="BAT67" s="5"/>
      <c r="BAU67" s="5"/>
      <c r="BAV67" s="5"/>
      <c r="BAW67" s="5"/>
      <c r="BAX67" s="5"/>
      <c r="BAY67" s="5"/>
      <c r="BAZ67" s="5"/>
      <c r="BBA67" s="5"/>
      <c r="BBB67" s="5"/>
      <c r="BBC67" s="5"/>
      <c r="BBD67" s="5"/>
      <c r="BBE67" s="5"/>
      <c r="BBF67" s="5"/>
      <c r="BBG67" s="5"/>
      <c r="BBH67" s="5"/>
      <c r="BBI67" s="5"/>
      <c r="BBJ67" s="5"/>
      <c r="BBK67" s="5"/>
      <c r="BBL67" s="5"/>
      <c r="BBM67" s="5"/>
      <c r="BBN67" s="5"/>
      <c r="BBO67" s="5"/>
      <c r="BBP67" s="5"/>
      <c r="BBQ67" s="5"/>
      <c r="BBR67" s="5"/>
      <c r="BBS67" s="5"/>
      <c r="BBT67" s="5"/>
      <c r="BBU67" s="5"/>
      <c r="BBV67" s="5"/>
      <c r="BBW67" s="5"/>
      <c r="BBX67" s="5"/>
      <c r="BBY67" s="5"/>
      <c r="BBZ67" s="5"/>
      <c r="BCA67" s="5"/>
      <c r="BCB67" s="5"/>
      <c r="BCC67" s="5"/>
      <c r="BCD67" s="5"/>
      <c r="BCE67" s="5"/>
      <c r="BCF67" s="5"/>
      <c r="BCG67" s="5"/>
      <c r="BCH67" s="5"/>
      <c r="BCI67" s="5"/>
      <c r="BCJ67" s="5"/>
      <c r="BCK67" s="5"/>
      <c r="BCL67" s="5"/>
      <c r="BCM67" s="5"/>
      <c r="BCN67" s="5"/>
      <c r="BCO67" s="5"/>
      <c r="BCP67" s="5"/>
      <c r="BCQ67" s="5"/>
      <c r="BCR67" s="5"/>
      <c r="BCS67" s="5"/>
      <c r="BCT67" s="5"/>
      <c r="BCU67" s="5"/>
      <c r="BCV67" s="5"/>
      <c r="BCW67" s="5"/>
      <c r="BCX67" s="5"/>
      <c r="BCY67" s="5"/>
      <c r="BCZ67" s="5"/>
      <c r="BDA67" s="5"/>
      <c r="BDB67" s="5"/>
      <c r="BDC67" s="5"/>
      <c r="BDD67" s="5"/>
      <c r="BDE67" s="5"/>
      <c r="BDF67" s="5"/>
      <c r="BDG67" s="5"/>
      <c r="BDH67" s="5"/>
      <c r="BDI67" s="5"/>
      <c r="BDJ67" s="5"/>
      <c r="BDK67" s="5"/>
      <c r="BDL67" s="5"/>
      <c r="BDM67" s="5"/>
      <c r="BDN67" s="5"/>
      <c r="BDO67" s="5"/>
      <c r="BDP67" s="5"/>
      <c r="BDQ67" s="5"/>
      <c r="BDR67" s="5"/>
      <c r="BDS67" s="5"/>
      <c r="BDT67" s="5"/>
      <c r="BDU67" s="5"/>
      <c r="BDV67" s="5"/>
      <c r="BDW67" s="5"/>
      <c r="BDX67" s="5"/>
      <c r="BDY67" s="5"/>
      <c r="BDZ67" s="5"/>
      <c r="BEA67" s="5"/>
      <c r="BEB67" s="5"/>
      <c r="BEC67" s="5"/>
      <c r="BED67" s="5"/>
      <c r="BEE67" s="5"/>
      <c r="BEF67" s="5"/>
      <c r="BEG67" s="5"/>
      <c r="BEH67" s="5"/>
      <c r="BEI67" s="5"/>
      <c r="BEJ67" s="5"/>
      <c r="BEK67" s="5"/>
      <c r="BEL67" s="5"/>
      <c r="BEM67" s="5"/>
      <c r="BEN67" s="5"/>
      <c r="BEO67" s="5"/>
      <c r="BEP67" s="5"/>
      <c r="BEQ67" s="5"/>
      <c r="BER67" s="5"/>
      <c r="BES67" s="5"/>
      <c r="BET67" s="5"/>
      <c r="BEU67" s="5"/>
      <c r="BEV67" s="5"/>
      <c r="BEW67" s="5"/>
      <c r="BEX67" s="5"/>
      <c r="BEY67" s="5"/>
      <c r="BEZ67" s="5"/>
      <c r="BFA67" s="5"/>
      <c r="BFB67" s="5"/>
      <c r="BFC67" s="5"/>
      <c r="BFD67" s="5"/>
      <c r="BFE67" s="5"/>
      <c r="BFF67" s="5"/>
      <c r="BFG67" s="5"/>
      <c r="BFH67" s="5"/>
      <c r="BFI67" s="5"/>
      <c r="BFJ67" s="5"/>
      <c r="BFK67" s="5"/>
      <c r="BFL67" s="5"/>
      <c r="BFM67" s="5"/>
      <c r="BFN67" s="5"/>
      <c r="BFO67" s="5"/>
      <c r="BFP67" s="5"/>
      <c r="BFQ67" s="5"/>
      <c r="BFR67" s="5"/>
      <c r="BFS67" s="5"/>
      <c r="BFT67" s="5"/>
      <c r="BFU67" s="5"/>
      <c r="BFV67" s="5"/>
      <c r="BFW67" s="5"/>
      <c r="BFX67" s="5"/>
      <c r="BFY67" s="5"/>
      <c r="BFZ67" s="5"/>
      <c r="BGA67" s="5"/>
      <c r="BGB67" s="5"/>
      <c r="BGC67" s="5"/>
      <c r="BGD67" s="5"/>
      <c r="BGE67" s="5"/>
      <c r="BGF67" s="5"/>
      <c r="BGG67" s="5"/>
      <c r="BGH67" s="5"/>
      <c r="BGI67" s="5"/>
      <c r="BGJ67" s="5"/>
      <c r="BGK67" s="5"/>
      <c r="BGL67" s="5"/>
      <c r="BGM67" s="5"/>
      <c r="BGN67" s="5"/>
      <c r="BGO67" s="5"/>
      <c r="BGP67" s="5"/>
      <c r="BGQ67" s="5"/>
      <c r="BGR67" s="5"/>
      <c r="BGS67" s="5"/>
      <c r="BGT67" s="5"/>
      <c r="BGU67" s="5"/>
      <c r="BGV67" s="5"/>
      <c r="BGW67" s="5"/>
      <c r="BGX67" s="5"/>
      <c r="BGY67" s="5"/>
      <c r="BGZ67" s="5"/>
      <c r="BHA67" s="5"/>
      <c r="BHB67" s="5"/>
      <c r="BHC67" s="5"/>
      <c r="BHD67" s="5"/>
      <c r="BHE67" s="5"/>
      <c r="BHF67" s="5"/>
      <c r="BHG67" s="5"/>
      <c r="BHH67" s="5"/>
      <c r="BHI67" s="5"/>
      <c r="BHJ67" s="5"/>
      <c r="BHK67" s="5"/>
      <c r="BHL67" s="5"/>
      <c r="BHM67" s="5"/>
      <c r="BHN67" s="5"/>
      <c r="BHO67" s="5"/>
      <c r="BHP67" s="5"/>
      <c r="BHQ67" s="5"/>
      <c r="BHR67" s="5"/>
      <c r="BHS67" s="5"/>
      <c r="BHT67" s="5"/>
      <c r="BHU67" s="5"/>
      <c r="BHV67" s="5"/>
      <c r="BHW67" s="5"/>
      <c r="BHX67" s="5"/>
      <c r="BHY67" s="5"/>
      <c r="BHZ67" s="5"/>
      <c r="BIA67" s="5"/>
      <c r="BIB67" s="5"/>
      <c r="BIC67" s="5"/>
      <c r="BID67" s="5"/>
      <c r="BIE67" s="5"/>
      <c r="BIF67" s="5"/>
      <c r="BIG67" s="5"/>
      <c r="BIH67" s="5"/>
      <c r="BII67" s="5"/>
      <c r="BIJ67" s="5"/>
      <c r="BIK67" s="5"/>
      <c r="BIL67" s="5"/>
      <c r="BIM67" s="5"/>
      <c r="BIN67" s="5"/>
      <c r="BIO67" s="5"/>
      <c r="BIP67" s="5"/>
      <c r="BIQ67" s="5"/>
      <c r="BIR67" s="5"/>
      <c r="BIS67" s="5"/>
      <c r="BIT67" s="5"/>
      <c r="BIU67" s="5"/>
      <c r="BIV67" s="5"/>
      <c r="BIW67" s="5"/>
      <c r="BIX67" s="5"/>
      <c r="BIY67" s="5"/>
      <c r="BIZ67" s="5"/>
      <c r="BJA67" s="5"/>
      <c r="BJB67" s="5"/>
      <c r="BJC67" s="5"/>
      <c r="BJD67" s="5"/>
      <c r="BJE67" s="5"/>
      <c r="BJF67" s="5"/>
      <c r="BJG67" s="5"/>
      <c r="BJH67" s="5"/>
      <c r="BJI67" s="5"/>
      <c r="BJJ67" s="5"/>
      <c r="BJK67" s="5"/>
      <c r="BJL67" s="5"/>
      <c r="BJM67" s="5"/>
      <c r="BJN67" s="5"/>
      <c r="BJO67" s="5"/>
      <c r="BJP67" s="5"/>
      <c r="BJQ67" s="5"/>
      <c r="BJR67" s="5"/>
      <c r="BJS67" s="5"/>
      <c r="BJT67" s="5"/>
      <c r="BJU67" s="5"/>
      <c r="BJV67" s="5"/>
      <c r="BJW67" s="5"/>
      <c r="BJX67" s="5"/>
      <c r="BJY67" s="5"/>
      <c r="BJZ67" s="5"/>
      <c r="BKA67" s="5"/>
      <c r="BKB67" s="5"/>
      <c r="BKC67" s="5"/>
      <c r="BKD67" s="5"/>
      <c r="BKE67" s="5"/>
      <c r="BKF67" s="5"/>
      <c r="BKG67" s="5"/>
      <c r="BKH67" s="5"/>
      <c r="BKI67" s="5"/>
      <c r="BKJ67" s="5"/>
      <c r="BKK67" s="5"/>
      <c r="BKL67" s="5"/>
      <c r="BKM67" s="5"/>
      <c r="BKN67" s="5"/>
      <c r="BKO67" s="5"/>
      <c r="BKP67" s="5"/>
      <c r="BKQ67" s="5"/>
      <c r="BKR67" s="5"/>
      <c r="BKS67" s="5"/>
      <c r="BKT67" s="5"/>
      <c r="BKU67" s="5"/>
      <c r="BKV67" s="5"/>
      <c r="BKW67" s="5"/>
      <c r="BKX67" s="5"/>
      <c r="BKY67" s="5"/>
      <c r="BKZ67" s="5"/>
      <c r="BLA67" s="5"/>
      <c r="BLB67" s="5"/>
      <c r="BLC67" s="5"/>
      <c r="BLD67" s="5"/>
      <c r="BLE67" s="5"/>
      <c r="BLF67" s="5"/>
      <c r="BLG67" s="5"/>
      <c r="BLH67" s="5"/>
      <c r="BLI67" s="5"/>
      <c r="BLJ67" s="5"/>
      <c r="BLK67" s="5"/>
      <c r="BLL67" s="5"/>
      <c r="BLM67" s="5"/>
      <c r="BLN67" s="5"/>
      <c r="BLO67" s="5"/>
      <c r="BLP67" s="5"/>
      <c r="BLQ67" s="5"/>
      <c r="BLR67" s="5"/>
      <c r="BLS67" s="5"/>
      <c r="BLT67" s="5"/>
      <c r="BLU67" s="5"/>
      <c r="BLV67" s="5"/>
      <c r="BLW67" s="5"/>
      <c r="BLX67" s="5"/>
      <c r="BLY67" s="5"/>
      <c r="BLZ67" s="5"/>
      <c r="BMA67" s="5"/>
      <c r="BMB67" s="5"/>
      <c r="BMC67" s="5"/>
      <c r="BMD67" s="5"/>
      <c r="BME67" s="5"/>
      <c r="BMF67" s="5"/>
      <c r="BMG67" s="5"/>
      <c r="BMH67" s="5"/>
      <c r="BMI67" s="5"/>
      <c r="BMJ67" s="5"/>
      <c r="BMK67" s="5"/>
      <c r="BML67" s="5"/>
      <c r="BMM67" s="5"/>
      <c r="BMN67" s="5"/>
      <c r="BMO67" s="5"/>
      <c r="BMP67" s="5"/>
      <c r="BMQ67" s="5"/>
      <c r="BMR67" s="5"/>
      <c r="BMS67" s="5"/>
      <c r="BMT67" s="5"/>
      <c r="BMU67" s="5"/>
      <c r="BMV67" s="5"/>
      <c r="BMW67" s="5"/>
      <c r="BMX67" s="5"/>
      <c r="BMY67" s="5"/>
      <c r="BMZ67" s="5"/>
      <c r="BNA67" s="5"/>
      <c r="BNB67" s="5"/>
      <c r="BNC67" s="5"/>
      <c r="BND67" s="5"/>
      <c r="BNE67" s="5"/>
      <c r="BNF67" s="5"/>
      <c r="BNG67" s="5"/>
      <c r="BNH67" s="5"/>
      <c r="BNI67" s="5"/>
      <c r="BNJ67" s="5"/>
      <c r="BNK67" s="5"/>
      <c r="BNL67" s="5"/>
      <c r="BNM67" s="5"/>
      <c r="BNN67" s="5"/>
      <c r="BNO67" s="5"/>
      <c r="BNP67" s="5"/>
      <c r="BNQ67" s="5"/>
      <c r="BNR67" s="5"/>
      <c r="BNS67" s="5"/>
      <c r="BNT67" s="5"/>
      <c r="BNU67" s="5"/>
      <c r="BNV67" s="5"/>
      <c r="BNW67" s="5"/>
      <c r="BNX67" s="5"/>
      <c r="BNY67" s="5"/>
      <c r="BNZ67" s="5"/>
      <c r="BOA67" s="5"/>
      <c r="BOB67" s="5"/>
      <c r="BOC67" s="5"/>
      <c r="BOD67" s="5"/>
      <c r="BOE67" s="5"/>
      <c r="BOF67" s="5"/>
      <c r="BOG67" s="5"/>
      <c r="BOH67" s="5"/>
      <c r="BOI67" s="5"/>
      <c r="BOJ67" s="5"/>
      <c r="BOK67" s="5"/>
      <c r="BOL67" s="5"/>
      <c r="BOM67" s="5"/>
      <c r="BON67" s="5"/>
      <c r="BOO67" s="5"/>
      <c r="BOP67" s="5"/>
      <c r="BOQ67" s="5"/>
      <c r="BOR67" s="5"/>
      <c r="BOS67" s="5"/>
      <c r="BOT67" s="5"/>
      <c r="BOU67" s="5"/>
      <c r="BOV67" s="5"/>
      <c r="BOW67" s="5"/>
      <c r="BOX67" s="5"/>
      <c r="BOY67" s="5"/>
      <c r="BOZ67" s="5"/>
      <c r="BPA67" s="5"/>
      <c r="BPB67" s="5"/>
      <c r="BPC67" s="5"/>
      <c r="BPD67" s="5"/>
      <c r="BPE67" s="5"/>
      <c r="BPF67" s="5"/>
      <c r="BPG67" s="5"/>
      <c r="BPH67" s="5"/>
      <c r="BPI67" s="5"/>
      <c r="BPJ67" s="5"/>
      <c r="BPK67" s="5"/>
      <c r="BPL67" s="5"/>
      <c r="BPM67" s="5"/>
      <c r="BPN67" s="5"/>
      <c r="BPO67" s="5"/>
      <c r="BPP67" s="5"/>
      <c r="BPQ67" s="5"/>
      <c r="BPR67" s="5"/>
      <c r="BPS67" s="5"/>
      <c r="BPT67" s="5"/>
      <c r="BPU67" s="5"/>
      <c r="BPV67" s="5"/>
      <c r="BPW67" s="5"/>
      <c r="BPX67" s="5"/>
      <c r="BPY67" s="5"/>
      <c r="BPZ67" s="5"/>
      <c r="BQA67" s="5"/>
      <c r="BQB67" s="5"/>
      <c r="BQC67" s="5"/>
      <c r="BQD67" s="5"/>
      <c r="BQE67" s="5"/>
      <c r="BQF67" s="5"/>
      <c r="BQG67" s="5"/>
      <c r="BQH67" s="5"/>
      <c r="BQI67" s="5"/>
      <c r="BQJ67" s="5"/>
      <c r="BQK67" s="5"/>
      <c r="BQL67" s="5"/>
      <c r="BQM67" s="5"/>
      <c r="BQN67" s="5"/>
      <c r="BQO67" s="5"/>
      <c r="BQP67" s="5"/>
      <c r="BQQ67" s="5"/>
      <c r="BQR67" s="5"/>
      <c r="BQS67" s="5"/>
      <c r="BQT67" s="5"/>
      <c r="BQU67" s="5"/>
      <c r="BQV67" s="5"/>
      <c r="BQW67" s="5"/>
      <c r="BQX67" s="5"/>
      <c r="BQY67" s="5"/>
      <c r="BQZ67" s="5"/>
      <c r="BRA67" s="5"/>
      <c r="BRB67" s="5"/>
      <c r="BRC67" s="5"/>
      <c r="BRD67" s="5"/>
      <c r="BRE67" s="5"/>
      <c r="BRF67" s="5"/>
      <c r="BRG67" s="5"/>
      <c r="BRH67" s="5"/>
      <c r="BRI67" s="5"/>
      <c r="BRJ67" s="5"/>
      <c r="BRK67" s="5"/>
      <c r="BRL67" s="5"/>
      <c r="BRM67" s="5"/>
      <c r="BRN67" s="5"/>
      <c r="BRO67" s="5"/>
      <c r="BRP67" s="5"/>
      <c r="BRQ67" s="5"/>
      <c r="BRR67" s="5"/>
      <c r="BRS67" s="5"/>
      <c r="BRT67" s="5"/>
      <c r="BRU67" s="5"/>
      <c r="BRV67" s="5"/>
      <c r="BRW67" s="5"/>
      <c r="BRX67" s="5"/>
      <c r="BRY67" s="5"/>
      <c r="BRZ67" s="5"/>
      <c r="BSA67" s="5"/>
      <c r="BSB67" s="5"/>
      <c r="BSC67" s="5"/>
      <c r="BSD67" s="5"/>
      <c r="BSE67" s="5"/>
      <c r="BSF67" s="5"/>
      <c r="BSG67" s="5"/>
      <c r="BSH67" s="5"/>
      <c r="BSI67" s="5"/>
      <c r="BSJ67" s="5"/>
      <c r="BSK67" s="5"/>
      <c r="BSL67" s="5"/>
      <c r="BSM67" s="5"/>
      <c r="BSN67" s="5"/>
      <c r="BSO67" s="5"/>
      <c r="BSP67" s="5"/>
      <c r="BSQ67" s="5"/>
      <c r="BSR67" s="5"/>
      <c r="BSS67" s="5"/>
      <c r="BST67" s="5"/>
      <c r="BSU67" s="5"/>
      <c r="BSV67" s="5"/>
      <c r="BSW67" s="5"/>
      <c r="BSX67" s="5"/>
      <c r="BSY67" s="5"/>
      <c r="BSZ67" s="5"/>
      <c r="BTA67" s="5"/>
      <c r="BTB67" s="5"/>
      <c r="BTC67" s="5"/>
      <c r="BTD67" s="5"/>
      <c r="BTE67" s="5"/>
      <c r="BTF67" s="5"/>
      <c r="BTG67" s="5"/>
      <c r="BTH67" s="5"/>
      <c r="BTI67" s="5"/>
      <c r="BTJ67" s="5"/>
      <c r="BTK67" s="5"/>
      <c r="BTL67" s="5"/>
      <c r="BTM67" s="5"/>
      <c r="BTN67" s="5"/>
      <c r="BTO67" s="5"/>
      <c r="BTP67" s="5"/>
      <c r="BTQ67" s="5"/>
      <c r="BTR67" s="5"/>
      <c r="BTS67" s="5"/>
      <c r="BTT67" s="5"/>
      <c r="BTU67" s="5"/>
      <c r="BTV67" s="5"/>
      <c r="BTW67" s="5"/>
      <c r="BTX67" s="5"/>
      <c r="BTY67" s="5"/>
      <c r="BTZ67" s="5"/>
      <c r="BUA67" s="5"/>
      <c r="BUB67" s="5"/>
      <c r="BUC67" s="5"/>
      <c r="BUD67" s="5"/>
      <c r="BUE67" s="5"/>
      <c r="BUF67" s="5"/>
      <c r="BUG67" s="5"/>
      <c r="BUH67" s="5"/>
      <c r="BUI67" s="5"/>
      <c r="BUJ67" s="5"/>
      <c r="BUK67" s="5"/>
      <c r="BUL67" s="5"/>
      <c r="BUM67" s="5"/>
      <c r="BUN67" s="5"/>
      <c r="BUO67" s="5"/>
      <c r="BUP67" s="5"/>
      <c r="BUQ67" s="5"/>
      <c r="BUR67" s="5"/>
      <c r="BUS67" s="5"/>
      <c r="BUT67" s="5"/>
      <c r="BUU67" s="5"/>
      <c r="BUV67" s="5"/>
      <c r="BUW67" s="5"/>
      <c r="BUX67" s="5"/>
      <c r="BUY67" s="5"/>
      <c r="BUZ67" s="5"/>
      <c r="BVA67" s="5"/>
      <c r="BVB67" s="5"/>
      <c r="BVC67" s="5"/>
      <c r="BVD67" s="5"/>
      <c r="BVE67" s="5"/>
      <c r="BVF67" s="5"/>
      <c r="BVG67" s="5"/>
      <c r="BVH67" s="5"/>
      <c r="BVI67" s="5"/>
      <c r="BVJ67" s="5"/>
      <c r="BVK67" s="5"/>
      <c r="BVL67" s="5"/>
      <c r="BVM67" s="5"/>
      <c r="BVN67" s="5"/>
      <c r="BVO67" s="5"/>
      <c r="BVP67" s="5"/>
      <c r="BVQ67" s="5"/>
      <c r="BVR67" s="5"/>
      <c r="BVS67" s="5"/>
      <c r="BVT67" s="5"/>
      <c r="BVU67" s="5"/>
      <c r="BVV67" s="5"/>
      <c r="BVW67" s="5"/>
      <c r="BVX67" s="5"/>
      <c r="BVY67" s="5"/>
      <c r="BVZ67" s="5"/>
      <c r="BWA67" s="5"/>
      <c r="BWB67" s="5"/>
      <c r="BWC67" s="5"/>
      <c r="BWD67" s="5"/>
      <c r="BWE67" s="5"/>
      <c r="BWF67" s="5"/>
      <c r="BWG67" s="5"/>
      <c r="BWH67" s="5"/>
      <c r="BWI67" s="5"/>
      <c r="BWJ67" s="5"/>
      <c r="BWK67" s="5"/>
      <c r="BWL67" s="5"/>
      <c r="BWM67" s="5"/>
      <c r="BWN67" s="5"/>
      <c r="BWO67" s="5"/>
      <c r="BWP67" s="5"/>
      <c r="BWQ67" s="5"/>
      <c r="BWR67" s="5"/>
      <c r="BWS67" s="5"/>
      <c r="BWT67" s="5"/>
      <c r="BWU67" s="5"/>
      <c r="BWV67" s="5"/>
      <c r="BWW67" s="5"/>
      <c r="BWX67" s="5"/>
      <c r="BWY67" s="5"/>
      <c r="BWZ67" s="5"/>
      <c r="BXA67" s="5"/>
      <c r="BXB67" s="5"/>
      <c r="BXC67" s="5"/>
      <c r="BXD67" s="5"/>
      <c r="BXE67" s="5"/>
      <c r="BXF67" s="5"/>
      <c r="BXG67" s="5"/>
      <c r="BXH67" s="5"/>
      <c r="BXI67" s="5"/>
      <c r="BXJ67" s="5"/>
      <c r="BXK67" s="5"/>
      <c r="BXL67" s="5"/>
      <c r="BXM67" s="5"/>
      <c r="BXN67" s="5"/>
      <c r="BXO67" s="5"/>
      <c r="BXP67" s="5"/>
      <c r="BXQ67" s="5"/>
      <c r="BXR67" s="5"/>
      <c r="BXS67" s="5"/>
      <c r="BXT67" s="5"/>
      <c r="BXU67" s="5"/>
      <c r="BXV67" s="5"/>
      <c r="BXW67" s="5"/>
      <c r="BXX67" s="5"/>
      <c r="BXY67" s="5"/>
      <c r="BXZ67" s="5"/>
      <c r="BYA67" s="5"/>
      <c r="BYB67" s="5"/>
      <c r="BYC67" s="5"/>
      <c r="BYD67" s="5"/>
      <c r="BYE67" s="5"/>
      <c r="BYF67" s="5"/>
      <c r="BYG67" s="5"/>
      <c r="BYH67" s="5"/>
      <c r="BYI67" s="5"/>
      <c r="BYJ67" s="5"/>
      <c r="BYK67" s="5"/>
      <c r="BYL67" s="5"/>
      <c r="BYM67" s="5"/>
      <c r="BYN67" s="5"/>
      <c r="BYO67" s="5"/>
      <c r="BYP67" s="5"/>
      <c r="BYQ67" s="5"/>
      <c r="BYR67" s="5"/>
      <c r="BYS67" s="5"/>
      <c r="BYT67" s="5"/>
      <c r="BYU67" s="5"/>
      <c r="BYV67" s="5"/>
      <c r="BYW67" s="5"/>
      <c r="BYX67" s="5"/>
      <c r="BYY67" s="5"/>
      <c r="BYZ67" s="5"/>
      <c r="BZA67" s="5"/>
      <c r="BZB67" s="5"/>
      <c r="BZC67" s="5"/>
      <c r="BZD67" s="5"/>
      <c r="BZE67" s="5"/>
      <c r="BZF67" s="5"/>
      <c r="BZG67" s="5"/>
      <c r="BZH67" s="5"/>
      <c r="BZI67" s="5"/>
      <c r="BZJ67" s="5"/>
      <c r="BZK67" s="5"/>
      <c r="BZL67" s="5"/>
      <c r="BZM67" s="5"/>
      <c r="BZN67" s="5"/>
      <c r="BZO67" s="5"/>
      <c r="BZP67" s="5"/>
      <c r="BZQ67" s="5"/>
      <c r="BZR67" s="5"/>
      <c r="BZS67" s="5"/>
      <c r="BZT67" s="5"/>
      <c r="BZU67" s="5"/>
      <c r="BZV67" s="5"/>
      <c r="BZW67" s="5"/>
      <c r="BZX67" s="5"/>
      <c r="BZY67" s="5"/>
      <c r="BZZ67" s="5"/>
      <c r="CAA67" s="5"/>
      <c r="CAB67" s="5"/>
      <c r="CAC67" s="5"/>
      <c r="CAD67" s="5"/>
      <c r="CAE67" s="5"/>
      <c r="CAF67" s="5"/>
      <c r="CAG67" s="5"/>
      <c r="CAH67" s="5"/>
      <c r="CAI67" s="5"/>
      <c r="CAJ67" s="5"/>
      <c r="CAK67" s="5"/>
      <c r="CAL67" s="5"/>
      <c r="CAM67" s="5"/>
      <c r="CAN67" s="5"/>
      <c r="CAO67" s="5"/>
      <c r="CAP67" s="5"/>
      <c r="CAQ67" s="5"/>
      <c r="CAR67" s="5"/>
      <c r="CAS67" s="5"/>
      <c r="CAT67" s="5"/>
      <c r="CAU67" s="5"/>
      <c r="CAV67" s="5"/>
      <c r="CAW67" s="5"/>
      <c r="CAX67" s="5"/>
      <c r="CAY67" s="5"/>
      <c r="CAZ67" s="5"/>
      <c r="CBA67" s="5"/>
      <c r="CBB67" s="5"/>
      <c r="CBC67" s="5"/>
      <c r="CBD67" s="5"/>
      <c r="CBE67" s="5"/>
      <c r="CBF67" s="5"/>
      <c r="CBG67" s="5"/>
      <c r="CBH67" s="5"/>
      <c r="CBI67" s="5"/>
      <c r="CBJ67" s="5"/>
      <c r="CBK67" s="5"/>
      <c r="CBL67" s="5"/>
      <c r="CBM67" s="5"/>
      <c r="CBN67" s="5"/>
      <c r="CBO67" s="5"/>
      <c r="CBP67" s="5"/>
      <c r="CBQ67" s="5"/>
      <c r="CBR67" s="5"/>
      <c r="CBS67" s="5"/>
      <c r="CBT67" s="5"/>
      <c r="CBU67" s="5"/>
      <c r="CBV67" s="5"/>
      <c r="CBW67" s="5"/>
      <c r="CBX67" s="5"/>
      <c r="CBY67" s="5"/>
      <c r="CBZ67" s="5"/>
      <c r="CCA67" s="5"/>
      <c r="CCB67" s="5"/>
      <c r="CCC67" s="5"/>
      <c r="CCD67" s="5"/>
      <c r="CCE67" s="5"/>
      <c r="CCF67" s="5"/>
      <c r="CCG67" s="5"/>
      <c r="CCH67" s="5"/>
      <c r="CCI67" s="5"/>
      <c r="CCJ67" s="5"/>
      <c r="CCK67" s="5"/>
      <c r="CCL67" s="5"/>
      <c r="CCM67" s="5"/>
      <c r="CCN67" s="5"/>
      <c r="CCO67" s="5"/>
      <c r="CCP67" s="5"/>
      <c r="CCQ67" s="5"/>
      <c r="CCR67" s="5"/>
      <c r="CCS67" s="5"/>
      <c r="CCT67" s="5"/>
      <c r="CCU67" s="5"/>
      <c r="CCV67" s="5"/>
      <c r="CCW67" s="5"/>
      <c r="CCX67" s="5"/>
      <c r="CCY67" s="5"/>
      <c r="CCZ67" s="5"/>
      <c r="CDA67" s="5"/>
      <c r="CDB67" s="5"/>
      <c r="CDC67" s="5"/>
      <c r="CDD67" s="5"/>
      <c r="CDE67" s="5"/>
      <c r="CDF67" s="5"/>
      <c r="CDG67" s="5"/>
      <c r="CDH67" s="5"/>
      <c r="CDI67" s="5"/>
      <c r="CDJ67" s="5"/>
      <c r="CDK67" s="5"/>
      <c r="CDL67" s="5"/>
      <c r="CDM67" s="5"/>
      <c r="CDN67" s="5"/>
      <c r="CDO67" s="5"/>
      <c r="CDP67" s="5"/>
      <c r="CDQ67" s="5"/>
      <c r="CDR67" s="5"/>
      <c r="CDS67" s="5"/>
      <c r="CDT67" s="5"/>
      <c r="CDU67" s="5"/>
      <c r="CDV67" s="5"/>
      <c r="CDW67" s="5"/>
      <c r="CDX67" s="5"/>
      <c r="CDY67" s="5"/>
      <c r="CDZ67" s="5"/>
      <c r="CEA67" s="5"/>
      <c r="CEB67" s="5"/>
      <c r="CEC67" s="5"/>
      <c r="CED67" s="5"/>
      <c r="CEE67" s="5"/>
      <c r="CEF67" s="5"/>
      <c r="CEG67" s="5"/>
      <c r="CEH67" s="5"/>
      <c r="CEI67" s="5"/>
      <c r="CEJ67" s="5"/>
      <c r="CEK67" s="5"/>
      <c r="CEL67" s="5"/>
      <c r="CEM67" s="5"/>
      <c r="CEN67" s="5"/>
      <c r="CEO67" s="5"/>
      <c r="CEP67" s="5"/>
      <c r="CEQ67" s="5"/>
      <c r="CER67" s="5"/>
      <c r="CES67" s="5"/>
      <c r="CET67" s="5"/>
      <c r="CEU67" s="5"/>
      <c r="CEV67" s="5"/>
      <c r="CEW67" s="5"/>
      <c r="CEX67" s="5"/>
      <c r="CEY67" s="5"/>
      <c r="CEZ67" s="5"/>
      <c r="CFA67" s="5"/>
      <c r="CFB67" s="5"/>
      <c r="CFC67" s="5"/>
      <c r="CFD67" s="5"/>
      <c r="CFE67" s="5"/>
      <c r="CFF67" s="5"/>
      <c r="CFG67" s="5"/>
      <c r="CFH67" s="5"/>
      <c r="CFI67" s="5"/>
      <c r="CFJ67" s="5"/>
      <c r="CFK67" s="5"/>
      <c r="CFL67" s="5"/>
      <c r="CFM67" s="5"/>
      <c r="CFN67" s="5"/>
      <c r="CFO67" s="5"/>
      <c r="CFP67" s="5"/>
      <c r="CFQ67" s="5"/>
      <c r="CFR67" s="5"/>
      <c r="CFS67" s="5"/>
      <c r="CFT67" s="5"/>
      <c r="CFU67" s="5"/>
      <c r="CFV67" s="5"/>
      <c r="CFW67" s="5"/>
      <c r="CFX67" s="5"/>
      <c r="CFY67" s="5"/>
      <c r="CFZ67" s="5"/>
      <c r="CGA67" s="5"/>
      <c r="CGB67" s="5"/>
      <c r="CGC67" s="5"/>
      <c r="CGD67" s="5"/>
      <c r="CGE67" s="5"/>
      <c r="CGF67" s="5"/>
      <c r="CGG67" s="5"/>
      <c r="CGH67" s="5"/>
      <c r="CGI67" s="5"/>
      <c r="CGJ67" s="5"/>
      <c r="CGK67" s="5"/>
      <c r="CGL67" s="5"/>
      <c r="CGM67" s="5"/>
      <c r="CGN67" s="5"/>
      <c r="CGO67" s="5"/>
      <c r="CGP67" s="5"/>
      <c r="CGQ67" s="5"/>
      <c r="CGR67" s="5"/>
      <c r="CGS67" s="5"/>
      <c r="CGT67" s="5"/>
      <c r="CGU67" s="5"/>
      <c r="CGV67" s="5"/>
      <c r="CGW67" s="5"/>
      <c r="CGX67" s="5"/>
      <c r="CGY67" s="5"/>
      <c r="CGZ67" s="5"/>
      <c r="CHA67" s="5"/>
      <c r="CHB67" s="5"/>
      <c r="CHC67" s="5"/>
      <c r="CHD67" s="5"/>
      <c r="CHE67" s="5"/>
      <c r="CHF67" s="5"/>
      <c r="CHG67" s="5"/>
      <c r="CHH67" s="5"/>
      <c r="CHI67" s="5"/>
      <c r="CHJ67" s="5"/>
      <c r="CHK67" s="5"/>
      <c r="CHL67" s="5"/>
      <c r="CHM67" s="5"/>
      <c r="CHN67" s="5"/>
      <c r="CHO67" s="5"/>
      <c r="CHP67" s="5"/>
      <c r="CHQ67" s="5"/>
      <c r="CHR67" s="5"/>
      <c r="CHS67" s="5"/>
      <c r="CHT67" s="5"/>
      <c r="CHU67" s="5"/>
      <c r="CHV67" s="5"/>
      <c r="CHW67" s="5"/>
      <c r="CHX67" s="5"/>
      <c r="CHY67" s="5"/>
      <c r="CHZ67" s="5"/>
      <c r="CIA67" s="5"/>
      <c r="CIB67" s="5"/>
      <c r="CIC67" s="5"/>
      <c r="CID67" s="5"/>
      <c r="CIE67" s="5"/>
      <c r="CIF67" s="5"/>
      <c r="CIG67" s="5"/>
      <c r="CIH67" s="5"/>
      <c r="CII67" s="5"/>
      <c r="CIJ67" s="5"/>
      <c r="CIK67" s="5"/>
      <c r="CIL67" s="5"/>
      <c r="CIM67" s="5"/>
      <c r="CIN67" s="5"/>
      <c r="CIO67" s="5"/>
      <c r="CIP67" s="5"/>
      <c r="CIQ67" s="5"/>
      <c r="CIR67" s="5"/>
      <c r="CIS67" s="5"/>
      <c r="CIT67" s="5"/>
      <c r="CIU67" s="5"/>
      <c r="CIV67" s="5"/>
      <c r="CIW67" s="5"/>
      <c r="CIX67" s="5"/>
      <c r="CIY67" s="5"/>
      <c r="CIZ67" s="5"/>
      <c r="CJA67" s="5"/>
      <c r="CJB67" s="5"/>
      <c r="CJC67" s="5"/>
      <c r="CJD67" s="5"/>
      <c r="CJE67" s="5"/>
      <c r="CJF67" s="5"/>
      <c r="CJG67" s="5"/>
      <c r="CJH67" s="5"/>
      <c r="CJI67" s="5"/>
      <c r="CJJ67" s="5"/>
      <c r="CJK67" s="5"/>
      <c r="CJL67" s="5"/>
      <c r="CJM67" s="5"/>
      <c r="CJN67" s="5"/>
      <c r="CJO67" s="5"/>
      <c r="CJP67" s="5"/>
      <c r="CJQ67" s="5"/>
      <c r="CJR67" s="5"/>
      <c r="CJS67" s="5"/>
      <c r="CJT67" s="5"/>
      <c r="CJU67" s="5"/>
      <c r="CJV67" s="5"/>
      <c r="CJW67" s="5"/>
      <c r="CJX67" s="5"/>
      <c r="CJY67" s="5"/>
      <c r="CJZ67" s="5"/>
      <c r="CKA67" s="5"/>
      <c r="CKB67" s="5"/>
      <c r="CKC67" s="5"/>
      <c r="CKD67" s="5"/>
      <c r="CKE67" s="5"/>
      <c r="CKF67" s="5"/>
      <c r="CKG67" s="5"/>
      <c r="CKH67" s="5"/>
      <c r="CKI67" s="5"/>
      <c r="CKJ67" s="5"/>
      <c r="CKK67" s="5"/>
      <c r="CKL67" s="5"/>
      <c r="CKM67" s="5"/>
      <c r="CKN67" s="5"/>
      <c r="CKO67" s="5"/>
      <c r="CKP67" s="5"/>
      <c r="CKQ67" s="5"/>
      <c r="CKR67" s="5"/>
      <c r="CKS67" s="5"/>
      <c r="CKT67" s="5"/>
      <c r="CKU67" s="5"/>
      <c r="CKV67" s="5"/>
      <c r="CKW67" s="5"/>
      <c r="CKX67" s="5"/>
      <c r="CKY67" s="5"/>
      <c r="CKZ67" s="5"/>
      <c r="CLA67" s="5"/>
      <c r="CLB67" s="5"/>
      <c r="CLC67" s="5"/>
      <c r="CLD67" s="5"/>
      <c r="CLE67" s="5"/>
      <c r="CLF67" s="5"/>
      <c r="CLG67" s="5"/>
      <c r="CLH67" s="5"/>
      <c r="CLI67" s="5"/>
      <c r="CLJ67" s="5"/>
      <c r="CLK67" s="5"/>
      <c r="CLL67" s="5"/>
      <c r="CLM67" s="5"/>
      <c r="CLN67" s="5"/>
      <c r="CLO67" s="5"/>
      <c r="CLP67" s="5"/>
      <c r="CLQ67" s="5"/>
      <c r="CLR67" s="5"/>
      <c r="CLS67" s="5"/>
      <c r="CLT67" s="5"/>
      <c r="CLU67" s="5"/>
      <c r="CLV67" s="5"/>
      <c r="CLW67" s="5"/>
      <c r="CLX67" s="5"/>
      <c r="CLY67" s="5"/>
      <c r="CLZ67" s="5"/>
      <c r="CMA67" s="5"/>
      <c r="CMB67" s="5"/>
      <c r="CMC67" s="5"/>
      <c r="CMD67" s="5"/>
      <c r="CME67" s="5"/>
      <c r="CMF67" s="5"/>
      <c r="CMG67" s="5"/>
      <c r="CMH67" s="5"/>
      <c r="CMI67" s="5"/>
      <c r="CMJ67" s="5"/>
      <c r="CMK67" s="5"/>
      <c r="CML67" s="5"/>
      <c r="CMM67" s="5"/>
      <c r="CMN67" s="5"/>
      <c r="CMO67" s="5"/>
      <c r="CMP67" s="5"/>
      <c r="CMQ67" s="5"/>
      <c r="CMR67" s="5"/>
      <c r="CMS67" s="5"/>
      <c r="CMT67" s="5"/>
      <c r="CMU67" s="5"/>
      <c r="CMV67" s="5"/>
      <c r="CMW67" s="5"/>
      <c r="CMX67" s="5"/>
      <c r="CMY67" s="5"/>
      <c r="CMZ67" s="5"/>
      <c r="CNA67" s="5"/>
      <c r="CNB67" s="5"/>
      <c r="CNC67" s="5"/>
      <c r="CND67" s="5"/>
      <c r="CNE67" s="5"/>
      <c r="CNF67" s="5"/>
      <c r="CNG67" s="5"/>
      <c r="CNH67" s="5"/>
      <c r="CNI67" s="5"/>
      <c r="CNJ67" s="5"/>
      <c r="CNK67" s="5"/>
      <c r="CNL67" s="5"/>
      <c r="CNM67" s="5"/>
      <c r="CNN67" s="5"/>
      <c r="CNO67" s="5"/>
      <c r="CNP67" s="5"/>
      <c r="CNQ67" s="5"/>
      <c r="CNR67" s="5"/>
      <c r="CNS67" s="5"/>
      <c r="CNT67" s="5"/>
      <c r="CNU67" s="5"/>
      <c r="CNV67" s="5"/>
      <c r="CNW67" s="5"/>
      <c r="CNX67" s="5"/>
      <c r="CNY67" s="5"/>
      <c r="CNZ67" s="5"/>
      <c r="COA67" s="5"/>
      <c r="COB67" s="5"/>
      <c r="COC67" s="5"/>
      <c r="COD67" s="5"/>
      <c r="COE67" s="5"/>
      <c r="COF67" s="5"/>
      <c r="COG67" s="5"/>
      <c r="COH67" s="5"/>
      <c r="COI67" s="5"/>
      <c r="COJ67" s="5"/>
      <c r="COK67" s="5"/>
      <c r="COL67" s="5"/>
      <c r="COM67" s="5"/>
      <c r="CON67" s="5"/>
      <c r="COO67" s="5"/>
      <c r="COP67" s="5"/>
      <c r="COQ67" s="5"/>
      <c r="COR67" s="5"/>
      <c r="COS67" s="5"/>
      <c r="COT67" s="5"/>
      <c r="COU67" s="5"/>
      <c r="COV67" s="5"/>
      <c r="COW67" s="5"/>
      <c r="COX67" s="5"/>
      <c r="COY67" s="5"/>
      <c r="COZ67" s="5"/>
      <c r="CPA67" s="5"/>
      <c r="CPB67" s="5"/>
      <c r="CPC67" s="5"/>
      <c r="CPD67" s="5"/>
      <c r="CPE67" s="5"/>
      <c r="CPF67" s="5"/>
      <c r="CPG67" s="5"/>
      <c r="CPH67" s="5"/>
      <c r="CPI67" s="5"/>
      <c r="CPJ67" s="5"/>
      <c r="CPK67" s="5"/>
      <c r="CPL67" s="5"/>
      <c r="CPM67" s="5"/>
      <c r="CPN67" s="5"/>
      <c r="CPO67" s="5"/>
      <c r="CPP67" s="5"/>
      <c r="CPQ67" s="5"/>
      <c r="CPR67" s="5"/>
      <c r="CPS67" s="5"/>
      <c r="CPT67" s="5"/>
      <c r="CPU67" s="5"/>
      <c r="CPV67" s="5"/>
      <c r="CPW67" s="5"/>
      <c r="CPX67" s="5"/>
      <c r="CPY67" s="5"/>
      <c r="CPZ67" s="5"/>
      <c r="CQA67" s="5"/>
      <c r="CQB67" s="5"/>
      <c r="CQC67" s="5"/>
      <c r="CQD67" s="5"/>
      <c r="CQE67" s="5"/>
      <c r="CQF67" s="5"/>
      <c r="CQG67" s="5"/>
      <c r="CQH67" s="5"/>
      <c r="CQI67" s="5"/>
      <c r="CQJ67" s="5"/>
      <c r="CQK67" s="5"/>
      <c r="CQL67" s="5"/>
      <c r="CQM67" s="5"/>
      <c r="CQN67" s="5"/>
      <c r="CQO67" s="5"/>
      <c r="CQP67" s="5"/>
      <c r="CQQ67" s="5"/>
      <c r="CQR67" s="5"/>
      <c r="CQS67" s="5"/>
      <c r="CQT67" s="5"/>
      <c r="CQU67" s="5"/>
      <c r="CQV67" s="5"/>
      <c r="CQW67" s="5"/>
      <c r="CQX67" s="5"/>
      <c r="CQY67" s="5"/>
      <c r="CQZ67" s="5"/>
      <c r="CRA67" s="5"/>
      <c r="CRB67" s="5"/>
      <c r="CRC67" s="5"/>
      <c r="CRD67" s="5"/>
      <c r="CRE67" s="5"/>
      <c r="CRF67" s="5"/>
      <c r="CRG67" s="5"/>
      <c r="CRH67" s="5"/>
      <c r="CRI67" s="5"/>
      <c r="CRJ67" s="5"/>
      <c r="CRK67" s="5"/>
      <c r="CRL67" s="5"/>
      <c r="CRM67" s="5"/>
      <c r="CRN67" s="5"/>
      <c r="CRO67" s="5"/>
      <c r="CRP67" s="5"/>
      <c r="CRQ67" s="5"/>
      <c r="CRR67" s="5"/>
      <c r="CRS67" s="5"/>
      <c r="CRT67" s="5"/>
      <c r="CRU67" s="5"/>
      <c r="CRV67" s="5"/>
      <c r="CRW67" s="5"/>
      <c r="CRX67" s="5"/>
      <c r="CRY67" s="5"/>
      <c r="CRZ67" s="5"/>
      <c r="CSA67" s="5"/>
      <c r="CSB67" s="5"/>
      <c r="CSC67" s="5"/>
      <c r="CSD67" s="5"/>
      <c r="CSE67" s="5"/>
      <c r="CSF67" s="5"/>
      <c r="CSG67" s="5"/>
      <c r="CSH67" s="5"/>
      <c r="CSI67" s="5"/>
      <c r="CSJ67" s="5"/>
      <c r="CSK67" s="5"/>
      <c r="CSL67" s="5"/>
      <c r="CSM67" s="5"/>
      <c r="CSN67" s="5"/>
      <c r="CSO67" s="5"/>
      <c r="CSP67" s="5"/>
      <c r="CSQ67" s="5"/>
      <c r="CSR67" s="5"/>
      <c r="CSS67" s="5"/>
      <c r="CST67" s="5"/>
      <c r="CSU67" s="5"/>
      <c r="CSV67" s="5"/>
      <c r="CSW67" s="5"/>
      <c r="CSX67" s="5"/>
      <c r="CSY67" s="5"/>
      <c r="CSZ67" s="5"/>
      <c r="CTA67" s="5"/>
      <c r="CTB67" s="5"/>
      <c r="CTC67" s="5"/>
      <c r="CTD67" s="5"/>
      <c r="CTE67" s="5"/>
      <c r="CTF67" s="5"/>
      <c r="CTG67" s="5"/>
      <c r="CTH67" s="5"/>
      <c r="CTI67" s="5"/>
      <c r="CTJ67" s="5"/>
      <c r="CTK67" s="5"/>
      <c r="CTL67" s="5"/>
      <c r="CTM67" s="5"/>
      <c r="CTN67" s="5"/>
      <c r="CTO67" s="5"/>
      <c r="CTP67" s="5"/>
      <c r="CTQ67" s="5"/>
      <c r="CTR67" s="5"/>
      <c r="CTS67" s="5"/>
      <c r="CTT67" s="5"/>
      <c r="CTU67" s="5"/>
      <c r="CTV67" s="5"/>
      <c r="CTW67" s="5"/>
      <c r="CTX67" s="5"/>
      <c r="CTY67" s="5"/>
      <c r="CTZ67" s="5"/>
      <c r="CUA67" s="5"/>
      <c r="CUB67" s="5"/>
      <c r="CUC67" s="5"/>
      <c r="CUD67" s="5"/>
      <c r="CUE67" s="5"/>
      <c r="CUF67" s="5"/>
      <c r="CUG67" s="5"/>
      <c r="CUH67" s="5"/>
      <c r="CUI67" s="5"/>
      <c r="CUJ67" s="5"/>
      <c r="CUK67" s="5"/>
      <c r="CUL67" s="5"/>
      <c r="CUM67" s="5"/>
      <c r="CUN67" s="5"/>
      <c r="CUO67" s="5"/>
      <c r="CUP67" s="5"/>
      <c r="CUQ67" s="5"/>
      <c r="CUR67" s="5"/>
      <c r="CUS67" s="5"/>
      <c r="CUT67" s="5"/>
      <c r="CUU67" s="5"/>
      <c r="CUV67" s="5"/>
      <c r="CUW67" s="5"/>
      <c r="CUX67" s="5"/>
      <c r="CUY67" s="5"/>
      <c r="CUZ67" s="5"/>
      <c r="CVA67" s="5"/>
      <c r="CVB67" s="5"/>
      <c r="CVC67" s="5"/>
      <c r="CVD67" s="5"/>
      <c r="CVE67" s="5"/>
      <c r="CVF67" s="5"/>
      <c r="CVG67" s="5"/>
      <c r="CVH67" s="5"/>
      <c r="CVI67" s="5"/>
      <c r="CVJ67" s="5"/>
      <c r="CVK67" s="5"/>
      <c r="CVL67" s="5"/>
      <c r="CVM67" s="5"/>
      <c r="CVN67" s="5"/>
      <c r="CVO67" s="5"/>
      <c r="CVP67" s="5"/>
      <c r="CVQ67" s="5"/>
      <c r="CVR67" s="5"/>
      <c r="CVS67" s="5"/>
      <c r="CVT67" s="5"/>
      <c r="CVU67" s="5"/>
      <c r="CVV67" s="5"/>
      <c r="CVW67" s="5"/>
      <c r="CVX67" s="5"/>
      <c r="CVY67" s="5"/>
      <c r="CVZ67" s="5"/>
      <c r="CWA67" s="5"/>
      <c r="CWB67" s="5"/>
      <c r="CWC67" s="5"/>
      <c r="CWD67" s="5"/>
      <c r="CWE67" s="5"/>
      <c r="CWF67" s="5"/>
      <c r="CWG67" s="5"/>
      <c r="CWH67" s="5"/>
      <c r="CWI67" s="5"/>
      <c r="CWJ67" s="5"/>
      <c r="CWK67" s="5"/>
      <c r="CWL67" s="5"/>
      <c r="CWM67" s="5"/>
      <c r="CWN67" s="5"/>
      <c r="CWO67" s="5"/>
      <c r="CWP67" s="5"/>
      <c r="CWQ67" s="5"/>
      <c r="CWR67" s="5"/>
      <c r="CWS67" s="5"/>
      <c r="CWT67" s="5"/>
      <c r="CWU67" s="5"/>
      <c r="CWV67" s="5"/>
      <c r="CWW67" s="5"/>
      <c r="CWX67" s="5"/>
      <c r="CWY67" s="5"/>
      <c r="CWZ67" s="5"/>
      <c r="CXA67" s="5"/>
      <c r="CXB67" s="5"/>
      <c r="CXC67" s="5"/>
      <c r="CXD67" s="5"/>
      <c r="CXE67" s="5"/>
      <c r="CXF67" s="5"/>
      <c r="CXG67" s="5"/>
      <c r="CXH67" s="5"/>
      <c r="CXI67" s="5"/>
      <c r="CXJ67" s="5"/>
      <c r="CXK67" s="5"/>
      <c r="CXL67" s="5"/>
      <c r="CXM67" s="5"/>
      <c r="CXN67" s="5"/>
      <c r="CXO67" s="5"/>
      <c r="CXP67" s="5"/>
      <c r="CXQ67" s="5"/>
      <c r="CXR67" s="5"/>
      <c r="CXS67" s="5"/>
      <c r="CXT67" s="5"/>
      <c r="CXU67" s="5"/>
      <c r="CXV67" s="5"/>
      <c r="CXW67" s="5"/>
      <c r="CXX67" s="5"/>
      <c r="CXY67" s="5"/>
      <c r="CXZ67" s="5"/>
      <c r="CYA67" s="5"/>
      <c r="CYB67" s="5"/>
      <c r="CYC67" s="5"/>
      <c r="CYD67" s="5"/>
      <c r="CYE67" s="5"/>
      <c r="CYF67" s="5"/>
      <c r="CYG67" s="5"/>
      <c r="CYH67" s="5"/>
      <c r="CYI67" s="5"/>
      <c r="CYJ67" s="5"/>
      <c r="CYK67" s="5"/>
      <c r="CYL67" s="5"/>
      <c r="CYM67" s="5"/>
      <c r="CYN67" s="5"/>
      <c r="CYO67" s="5"/>
      <c r="CYP67" s="5"/>
      <c r="CYQ67" s="5"/>
      <c r="CYR67" s="5"/>
      <c r="CYS67" s="5"/>
      <c r="CYT67" s="5"/>
      <c r="CYU67" s="5"/>
      <c r="CYV67" s="5"/>
      <c r="CYW67" s="5"/>
      <c r="CYX67" s="5"/>
      <c r="CYY67" s="5"/>
      <c r="CYZ67" s="5"/>
      <c r="CZA67" s="5"/>
      <c r="CZB67" s="5"/>
      <c r="CZC67" s="5"/>
      <c r="CZD67" s="5"/>
      <c r="CZE67" s="5"/>
      <c r="CZF67" s="5"/>
      <c r="CZG67" s="5"/>
      <c r="CZH67" s="5"/>
      <c r="CZI67" s="5"/>
      <c r="CZJ67" s="5"/>
      <c r="CZK67" s="5"/>
      <c r="CZL67" s="5"/>
      <c r="CZM67" s="5"/>
      <c r="CZN67" s="5"/>
      <c r="CZO67" s="5"/>
      <c r="CZP67" s="5"/>
      <c r="CZQ67" s="5"/>
      <c r="CZR67" s="5"/>
      <c r="CZS67" s="5"/>
      <c r="CZT67" s="5"/>
      <c r="CZU67" s="5"/>
      <c r="CZV67" s="5"/>
      <c r="CZW67" s="5"/>
      <c r="CZX67" s="5"/>
      <c r="CZY67" s="5"/>
      <c r="CZZ67" s="5"/>
      <c r="DAA67" s="5"/>
      <c r="DAB67" s="5"/>
      <c r="DAC67" s="5"/>
      <c r="DAD67" s="5"/>
      <c r="DAE67" s="5"/>
      <c r="DAF67" s="5"/>
      <c r="DAG67" s="5"/>
      <c r="DAH67" s="5"/>
      <c r="DAI67" s="5"/>
      <c r="DAJ67" s="5"/>
      <c r="DAK67" s="5"/>
      <c r="DAL67" s="5"/>
      <c r="DAM67" s="5"/>
      <c r="DAN67" s="5"/>
      <c r="DAO67" s="5"/>
      <c r="DAP67" s="5"/>
      <c r="DAQ67" s="5"/>
      <c r="DAR67" s="5"/>
      <c r="DAS67" s="5"/>
      <c r="DAT67" s="5"/>
      <c r="DAU67" s="5"/>
      <c r="DAV67" s="5"/>
      <c r="DAW67" s="5"/>
      <c r="DAX67" s="5"/>
      <c r="DAY67" s="5"/>
      <c r="DAZ67" s="5"/>
      <c r="DBA67" s="5"/>
      <c r="DBB67" s="5"/>
      <c r="DBC67" s="5"/>
      <c r="DBD67" s="5"/>
      <c r="DBE67" s="5"/>
      <c r="DBF67" s="5"/>
      <c r="DBG67" s="5"/>
      <c r="DBH67" s="5"/>
      <c r="DBI67" s="5"/>
      <c r="DBJ67" s="5"/>
      <c r="DBK67" s="5"/>
      <c r="DBL67" s="5"/>
      <c r="DBM67" s="5"/>
      <c r="DBN67" s="5"/>
      <c r="DBO67" s="5"/>
      <c r="DBP67" s="5"/>
      <c r="DBQ67" s="5"/>
      <c r="DBR67" s="5"/>
      <c r="DBS67" s="5"/>
      <c r="DBT67" s="5"/>
      <c r="DBU67" s="5"/>
      <c r="DBV67" s="5"/>
      <c r="DBW67" s="5"/>
      <c r="DBX67" s="5"/>
      <c r="DBY67" s="5"/>
      <c r="DBZ67" s="5"/>
      <c r="DCA67" s="5"/>
      <c r="DCB67" s="5"/>
      <c r="DCC67" s="5"/>
      <c r="DCD67" s="5"/>
      <c r="DCE67" s="5"/>
      <c r="DCF67" s="5"/>
      <c r="DCG67" s="5"/>
      <c r="DCH67" s="5"/>
      <c r="DCI67" s="5"/>
      <c r="DCJ67" s="5"/>
      <c r="DCK67" s="5"/>
      <c r="DCL67" s="5"/>
      <c r="DCM67" s="5"/>
      <c r="DCN67" s="5"/>
      <c r="DCO67" s="5"/>
      <c r="DCP67" s="5"/>
      <c r="DCQ67" s="5"/>
      <c r="DCR67" s="5"/>
      <c r="DCS67" s="5"/>
      <c r="DCT67" s="5"/>
      <c r="DCU67" s="5"/>
      <c r="DCV67" s="5"/>
      <c r="DCW67" s="5"/>
      <c r="DCX67" s="5"/>
      <c r="DCY67" s="5"/>
      <c r="DCZ67" s="5"/>
      <c r="DDA67" s="5"/>
      <c r="DDB67" s="5"/>
      <c r="DDC67" s="5"/>
      <c r="DDD67" s="5"/>
      <c r="DDE67" s="5"/>
      <c r="DDF67" s="5"/>
      <c r="DDG67" s="5"/>
      <c r="DDH67" s="5"/>
      <c r="DDI67" s="5"/>
      <c r="DDJ67" s="5"/>
      <c r="DDK67" s="5"/>
      <c r="DDL67" s="5"/>
      <c r="DDM67" s="5"/>
      <c r="DDN67" s="5"/>
      <c r="DDO67" s="5"/>
      <c r="DDP67" s="5"/>
      <c r="DDQ67" s="5"/>
      <c r="DDR67" s="5"/>
      <c r="DDS67" s="5"/>
      <c r="DDT67" s="5"/>
      <c r="DDU67" s="5"/>
      <c r="DDV67" s="5"/>
      <c r="DDW67" s="5"/>
      <c r="DDX67" s="5"/>
      <c r="DDY67" s="5"/>
      <c r="DDZ67" s="5"/>
      <c r="DEA67" s="5"/>
      <c r="DEB67" s="5"/>
      <c r="DEC67" s="5"/>
      <c r="DED67" s="5"/>
      <c r="DEE67" s="5"/>
      <c r="DEF67" s="5"/>
      <c r="DEG67" s="5"/>
      <c r="DEH67" s="5"/>
      <c r="DEI67" s="5"/>
      <c r="DEJ67" s="5"/>
      <c r="DEK67" s="5"/>
      <c r="DEL67" s="5"/>
      <c r="DEM67" s="5"/>
      <c r="DEN67" s="5"/>
      <c r="DEO67" s="5"/>
      <c r="DEP67" s="5"/>
      <c r="DEQ67" s="5"/>
      <c r="DER67" s="5"/>
      <c r="DES67" s="5"/>
      <c r="DET67" s="5"/>
      <c r="DEU67" s="5"/>
      <c r="DEV67" s="5"/>
      <c r="DEW67" s="5"/>
      <c r="DEX67" s="5"/>
      <c r="DEY67" s="5"/>
      <c r="DEZ67" s="5"/>
      <c r="DFA67" s="5"/>
      <c r="DFB67" s="5"/>
      <c r="DFC67" s="5"/>
      <c r="DFD67" s="5"/>
      <c r="DFE67" s="5"/>
      <c r="DFF67" s="5"/>
      <c r="DFG67" s="5"/>
      <c r="DFH67" s="5"/>
      <c r="DFI67" s="5"/>
      <c r="DFJ67" s="5"/>
      <c r="DFK67" s="5"/>
      <c r="DFL67" s="5"/>
      <c r="DFM67" s="5"/>
      <c r="DFN67" s="5"/>
      <c r="DFO67" s="5"/>
      <c r="DFP67" s="5"/>
      <c r="DFQ67" s="5"/>
      <c r="DFR67" s="5"/>
      <c r="DFS67" s="5"/>
      <c r="DFT67" s="5"/>
      <c r="DFU67" s="5"/>
      <c r="DFV67" s="5"/>
      <c r="DFW67" s="5"/>
      <c r="DFX67" s="5"/>
      <c r="DFY67" s="5"/>
      <c r="DFZ67" s="5"/>
      <c r="DGA67" s="5"/>
      <c r="DGB67" s="5"/>
      <c r="DGC67" s="5"/>
      <c r="DGD67" s="5"/>
      <c r="DGE67" s="5"/>
      <c r="DGF67" s="5"/>
      <c r="DGG67" s="5"/>
      <c r="DGH67" s="5"/>
      <c r="DGI67" s="5"/>
      <c r="DGJ67" s="5"/>
      <c r="DGK67" s="5"/>
      <c r="DGL67" s="5"/>
      <c r="DGM67" s="5"/>
      <c r="DGN67" s="5"/>
      <c r="DGO67" s="5"/>
      <c r="DGP67" s="5"/>
      <c r="DGQ67" s="5"/>
      <c r="DGR67" s="5"/>
      <c r="DGS67" s="5"/>
      <c r="DGT67" s="5"/>
      <c r="DGU67" s="5"/>
      <c r="DGV67" s="5"/>
      <c r="DGW67" s="5"/>
      <c r="DGX67" s="5"/>
      <c r="DGY67" s="5"/>
      <c r="DGZ67" s="5"/>
      <c r="DHA67" s="5"/>
      <c r="DHB67" s="5"/>
      <c r="DHC67" s="5"/>
      <c r="DHD67" s="5"/>
      <c r="DHE67" s="5"/>
      <c r="DHF67" s="5"/>
      <c r="DHG67" s="5"/>
      <c r="DHH67" s="5"/>
      <c r="DHI67" s="5"/>
      <c r="DHJ67" s="5"/>
      <c r="DHK67" s="5"/>
      <c r="DHL67" s="5"/>
      <c r="DHM67" s="5"/>
      <c r="DHN67" s="5"/>
      <c r="DHO67" s="5"/>
      <c r="DHP67" s="5"/>
      <c r="DHQ67" s="5"/>
      <c r="DHR67" s="5"/>
      <c r="DHS67" s="5"/>
      <c r="DHT67" s="5"/>
      <c r="DHU67" s="5"/>
      <c r="DHV67" s="5"/>
      <c r="DHW67" s="5"/>
      <c r="DHX67" s="5"/>
      <c r="DHY67" s="5"/>
      <c r="DHZ67" s="5"/>
      <c r="DIA67" s="5"/>
      <c r="DIB67" s="5"/>
      <c r="DIC67" s="5"/>
      <c r="DID67" s="5"/>
      <c r="DIE67" s="5"/>
      <c r="DIF67" s="5"/>
      <c r="DIG67" s="5"/>
      <c r="DIH67" s="5"/>
      <c r="DII67" s="5"/>
      <c r="DIJ67" s="5"/>
      <c r="DIK67" s="5"/>
      <c r="DIL67" s="5"/>
      <c r="DIM67" s="5"/>
      <c r="DIN67" s="5"/>
      <c r="DIO67" s="5"/>
      <c r="DIP67" s="5"/>
      <c r="DIQ67" s="5"/>
      <c r="DIR67" s="5"/>
      <c r="DIS67" s="5"/>
      <c r="DIT67" s="5"/>
      <c r="DIU67" s="5"/>
      <c r="DIV67" s="5"/>
      <c r="DIW67" s="5"/>
      <c r="DIX67" s="5"/>
      <c r="DIY67" s="5"/>
      <c r="DIZ67" s="5"/>
      <c r="DJA67" s="5"/>
      <c r="DJB67" s="5"/>
      <c r="DJC67" s="5"/>
      <c r="DJD67" s="5"/>
      <c r="DJE67" s="5"/>
      <c r="DJF67" s="5"/>
      <c r="DJG67" s="5"/>
      <c r="DJH67" s="5"/>
      <c r="DJI67" s="5"/>
      <c r="DJJ67" s="5"/>
      <c r="DJK67" s="5"/>
      <c r="DJL67" s="5"/>
      <c r="DJM67" s="5"/>
      <c r="DJN67" s="5"/>
      <c r="DJO67" s="5"/>
      <c r="DJP67" s="5"/>
      <c r="DJQ67" s="5"/>
      <c r="DJR67" s="5"/>
      <c r="DJS67" s="5"/>
      <c r="DJT67" s="5"/>
      <c r="DJU67" s="5"/>
      <c r="DJV67" s="5"/>
      <c r="DJW67" s="5"/>
      <c r="DJX67" s="5"/>
      <c r="DJY67" s="5"/>
      <c r="DJZ67" s="5"/>
      <c r="DKA67" s="5"/>
      <c r="DKB67" s="5"/>
      <c r="DKC67" s="5"/>
      <c r="DKD67" s="5"/>
      <c r="DKE67" s="5"/>
      <c r="DKF67" s="5"/>
      <c r="DKG67" s="5"/>
      <c r="DKH67" s="5"/>
      <c r="DKI67" s="5"/>
      <c r="DKJ67" s="5"/>
      <c r="DKK67" s="5"/>
      <c r="DKL67" s="5"/>
      <c r="DKM67" s="5"/>
      <c r="DKN67" s="5"/>
      <c r="DKO67" s="5"/>
      <c r="DKP67" s="5"/>
      <c r="DKQ67" s="5"/>
      <c r="DKR67" s="5"/>
      <c r="DKS67" s="5"/>
      <c r="DKT67" s="5"/>
      <c r="DKU67" s="5"/>
      <c r="DKV67" s="5"/>
      <c r="DKW67" s="5"/>
      <c r="DKX67" s="5"/>
      <c r="DKY67" s="5"/>
      <c r="DKZ67" s="5"/>
      <c r="DLA67" s="5"/>
      <c r="DLB67" s="5"/>
      <c r="DLC67" s="5"/>
      <c r="DLD67" s="5"/>
      <c r="DLE67" s="5"/>
      <c r="DLF67" s="5"/>
      <c r="DLG67" s="5"/>
      <c r="DLH67" s="5"/>
      <c r="DLI67" s="5"/>
      <c r="DLJ67" s="5"/>
      <c r="DLK67" s="5"/>
      <c r="DLL67" s="5"/>
      <c r="DLM67" s="5"/>
      <c r="DLN67" s="5"/>
      <c r="DLO67" s="5"/>
      <c r="DLP67" s="5"/>
      <c r="DLQ67" s="5"/>
      <c r="DLR67" s="5"/>
      <c r="DLS67" s="5"/>
      <c r="DLT67" s="5"/>
      <c r="DLU67" s="5"/>
      <c r="DLV67" s="5"/>
      <c r="DLW67" s="5"/>
      <c r="DLX67" s="5"/>
      <c r="DLY67" s="5"/>
      <c r="DLZ67" s="5"/>
      <c r="DMA67" s="5"/>
      <c r="DMB67" s="5"/>
      <c r="DMC67" s="5"/>
      <c r="DMD67" s="5"/>
      <c r="DME67" s="5"/>
      <c r="DMF67" s="5"/>
      <c r="DMG67" s="5"/>
      <c r="DMH67" s="5"/>
      <c r="DMI67" s="5"/>
      <c r="DMJ67" s="5"/>
      <c r="DMK67" s="5"/>
      <c r="DML67" s="5"/>
      <c r="DMM67" s="5"/>
      <c r="DMN67" s="5"/>
      <c r="DMO67" s="5"/>
      <c r="DMP67" s="5"/>
      <c r="DMQ67" s="5"/>
      <c r="DMR67" s="5"/>
      <c r="DMS67" s="5"/>
      <c r="DMT67" s="5"/>
      <c r="DMU67" s="5"/>
      <c r="DMV67" s="5"/>
      <c r="DMW67" s="5"/>
      <c r="DMX67" s="5"/>
      <c r="DMY67" s="5"/>
      <c r="DMZ67" s="5"/>
      <c r="DNA67" s="5"/>
      <c r="DNB67" s="5"/>
      <c r="DNC67" s="5"/>
      <c r="DND67" s="5"/>
      <c r="DNE67" s="5"/>
      <c r="DNF67" s="5"/>
      <c r="DNG67" s="5"/>
      <c r="DNH67" s="5"/>
      <c r="DNI67" s="5"/>
      <c r="DNJ67" s="5"/>
      <c r="DNK67" s="5"/>
      <c r="DNL67" s="5"/>
      <c r="DNM67" s="5"/>
      <c r="DNN67" s="5"/>
      <c r="DNO67" s="5"/>
      <c r="DNP67" s="5"/>
      <c r="DNQ67" s="5"/>
      <c r="DNR67" s="5"/>
      <c r="DNS67" s="5"/>
      <c r="DNT67" s="5"/>
      <c r="DNU67" s="5"/>
      <c r="DNV67" s="5"/>
      <c r="DNW67" s="5"/>
      <c r="DNX67" s="5"/>
      <c r="DNY67" s="5"/>
      <c r="DNZ67" s="5"/>
      <c r="DOA67" s="5"/>
      <c r="DOB67" s="5"/>
      <c r="DOC67" s="5"/>
      <c r="DOD67" s="5"/>
      <c r="DOE67" s="5"/>
      <c r="DOF67" s="5"/>
      <c r="DOG67" s="5"/>
      <c r="DOH67" s="5"/>
      <c r="DOI67" s="5"/>
      <c r="DOJ67" s="5"/>
      <c r="DOK67" s="5"/>
      <c r="DOL67" s="5"/>
      <c r="DOM67" s="5"/>
      <c r="DON67" s="5"/>
      <c r="DOO67" s="5"/>
      <c r="DOP67" s="5"/>
      <c r="DOQ67" s="5"/>
      <c r="DOR67" s="5"/>
      <c r="DOS67" s="5"/>
      <c r="DOT67" s="5"/>
      <c r="DOU67" s="5"/>
      <c r="DOV67" s="5"/>
      <c r="DOW67" s="5"/>
      <c r="DOX67" s="5"/>
      <c r="DOY67" s="5"/>
      <c r="DOZ67" s="5"/>
      <c r="DPA67" s="5"/>
      <c r="DPB67" s="5"/>
      <c r="DPC67" s="5"/>
      <c r="DPD67" s="5"/>
      <c r="DPE67" s="5"/>
      <c r="DPF67" s="5"/>
      <c r="DPG67" s="5"/>
      <c r="DPH67" s="5"/>
      <c r="DPI67" s="5"/>
      <c r="DPJ67" s="5"/>
      <c r="DPK67" s="5"/>
      <c r="DPL67" s="5"/>
      <c r="DPM67" s="5"/>
      <c r="DPN67" s="5"/>
      <c r="DPO67" s="5"/>
      <c r="DPP67" s="5"/>
      <c r="DPQ67" s="5"/>
      <c r="DPR67" s="5"/>
      <c r="DPS67" s="5"/>
      <c r="DPT67" s="5"/>
      <c r="DPU67" s="5"/>
      <c r="DPV67" s="5"/>
      <c r="DPW67" s="5"/>
      <c r="DPX67" s="5"/>
      <c r="DPY67" s="5"/>
      <c r="DPZ67" s="5"/>
      <c r="DQA67" s="5"/>
      <c r="DQB67" s="5"/>
      <c r="DQC67" s="5"/>
      <c r="DQD67" s="5"/>
      <c r="DQE67" s="5"/>
      <c r="DQF67" s="5"/>
      <c r="DQG67" s="5"/>
      <c r="DQH67" s="5"/>
      <c r="DQI67" s="5"/>
      <c r="DQJ67" s="5"/>
      <c r="DQK67" s="5"/>
      <c r="DQL67" s="5"/>
      <c r="DQM67" s="5"/>
      <c r="DQN67" s="5"/>
      <c r="DQO67" s="5"/>
      <c r="DQP67" s="5"/>
      <c r="DQQ67" s="5"/>
      <c r="DQR67" s="5"/>
      <c r="DQS67" s="5"/>
      <c r="DQT67" s="5"/>
      <c r="DQU67" s="5"/>
      <c r="DQV67" s="5"/>
      <c r="DQW67" s="5"/>
      <c r="DQX67" s="5"/>
      <c r="DQY67" s="5"/>
      <c r="DQZ67" s="5"/>
      <c r="DRA67" s="5"/>
      <c r="DRB67" s="5"/>
      <c r="DRC67" s="5"/>
      <c r="DRD67" s="5"/>
      <c r="DRE67" s="5"/>
      <c r="DRF67" s="5"/>
      <c r="DRG67" s="5"/>
      <c r="DRH67" s="5"/>
      <c r="DRI67" s="5"/>
      <c r="DRJ67" s="5"/>
      <c r="DRK67" s="5"/>
      <c r="DRL67" s="5"/>
      <c r="DRM67" s="5"/>
      <c r="DRN67" s="5"/>
      <c r="DRO67" s="5"/>
      <c r="DRP67" s="5"/>
      <c r="DRQ67" s="5"/>
      <c r="DRR67" s="5"/>
      <c r="DRS67" s="5"/>
      <c r="DRT67" s="5"/>
      <c r="DRU67" s="5"/>
      <c r="DRV67" s="5"/>
      <c r="DRW67" s="5"/>
      <c r="DRX67" s="5"/>
      <c r="DRY67" s="5"/>
      <c r="DRZ67" s="5"/>
      <c r="DSA67" s="5"/>
      <c r="DSB67" s="5"/>
      <c r="DSC67" s="5"/>
      <c r="DSD67" s="5"/>
      <c r="DSE67" s="5"/>
      <c r="DSF67" s="5"/>
      <c r="DSG67" s="5"/>
      <c r="DSH67" s="5"/>
      <c r="DSI67" s="5"/>
      <c r="DSJ67" s="5"/>
      <c r="DSK67" s="5"/>
      <c r="DSL67" s="5"/>
      <c r="DSM67" s="5"/>
      <c r="DSN67" s="5"/>
      <c r="DSO67" s="5"/>
      <c r="DSP67" s="5"/>
      <c r="DSQ67" s="5"/>
      <c r="DSR67" s="5"/>
      <c r="DSS67" s="5"/>
      <c r="DST67" s="5"/>
      <c r="DSU67" s="5"/>
      <c r="DSV67" s="5"/>
      <c r="DSW67" s="5"/>
      <c r="DSX67" s="5"/>
      <c r="DSY67" s="5"/>
      <c r="DSZ67" s="5"/>
      <c r="DTA67" s="5"/>
      <c r="DTB67" s="5"/>
      <c r="DTC67" s="5"/>
      <c r="DTD67" s="5"/>
      <c r="DTE67" s="5"/>
      <c r="DTF67" s="5"/>
      <c r="DTG67" s="5"/>
      <c r="DTH67" s="5"/>
      <c r="DTI67" s="5"/>
      <c r="DTJ67" s="5"/>
      <c r="DTK67" s="5"/>
      <c r="DTL67" s="5"/>
      <c r="DTM67" s="5"/>
      <c r="DTN67" s="5"/>
      <c r="DTO67" s="5"/>
      <c r="DTP67" s="5"/>
      <c r="DTQ67" s="5"/>
      <c r="DTR67" s="5"/>
      <c r="DTS67" s="5"/>
      <c r="DTT67" s="5"/>
      <c r="DTU67" s="5"/>
      <c r="DTV67" s="5"/>
      <c r="DTW67" s="5"/>
      <c r="DTX67" s="5"/>
      <c r="DTY67" s="5"/>
      <c r="DTZ67" s="5"/>
      <c r="DUA67" s="5"/>
      <c r="DUB67" s="5"/>
      <c r="DUC67" s="5"/>
      <c r="DUD67" s="5"/>
      <c r="DUE67" s="5"/>
      <c r="DUF67" s="5"/>
      <c r="DUG67" s="5"/>
      <c r="DUH67" s="5"/>
      <c r="DUI67" s="5"/>
      <c r="DUJ67" s="5"/>
      <c r="DUK67" s="5"/>
      <c r="DUL67" s="5"/>
      <c r="DUM67" s="5"/>
      <c r="DUN67" s="5"/>
      <c r="DUO67" s="5"/>
      <c r="DUP67" s="5"/>
      <c r="DUQ67" s="5"/>
      <c r="DUR67" s="5"/>
      <c r="DUS67" s="5"/>
      <c r="DUT67" s="5"/>
      <c r="DUU67" s="5"/>
      <c r="DUV67" s="5"/>
      <c r="DUW67" s="5"/>
      <c r="DUX67" s="5"/>
      <c r="DUY67" s="5"/>
      <c r="DUZ67" s="5"/>
      <c r="DVA67" s="5"/>
      <c r="DVB67" s="5"/>
      <c r="DVC67" s="5"/>
      <c r="DVD67" s="5"/>
      <c r="DVE67" s="5"/>
      <c r="DVF67" s="5"/>
      <c r="DVG67" s="5"/>
      <c r="DVH67" s="5"/>
      <c r="DVI67" s="5"/>
      <c r="DVJ67" s="5"/>
      <c r="DVK67" s="5"/>
      <c r="DVL67" s="5"/>
      <c r="DVM67" s="5"/>
      <c r="DVN67" s="5"/>
      <c r="DVO67" s="5"/>
      <c r="DVP67" s="5"/>
      <c r="DVQ67" s="5"/>
      <c r="DVR67" s="5"/>
      <c r="DVS67" s="5"/>
      <c r="DVT67" s="5"/>
      <c r="DVU67" s="5"/>
      <c r="DVV67" s="5"/>
      <c r="DVW67" s="5"/>
      <c r="DVX67" s="5"/>
      <c r="DVY67" s="5"/>
      <c r="DVZ67" s="5"/>
      <c r="DWA67" s="5"/>
      <c r="DWB67" s="5"/>
      <c r="DWC67" s="5"/>
      <c r="DWD67" s="5"/>
      <c r="DWE67" s="5"/>
      <c r="DWF67" s="5"/>
      <c r="DWG67" s="5"/>
      <c r="DWH67" s="5"/>
      <c r="DWI67" s="5"/>
      <c r="DWJ67" s="5"/>
      <c r="DWK67" s="5"/>
      <c r="DWL67" s="5"/>
      <c r="DWM67" s="5"/>
      <c r="DWN67" s="5"/>
      <c r="DWO67" s="5"/>
      <c r="DWP67" s="5"/>
      <c r="DWQ67" s="5"/>
      <c r="DWR67" s="5"/>
      <c r="DWS67" s="5"/>
      <c r="DWT67" s="5"/>
      <c r="DWU67" s="5"/>
      <c r="DWV67" s="5"/>
      <c r="DWW67" s="5"/>
      <c r="DWX67" s="5"/>
      <c r="DWY67" s="5"/>
      <c r="DWZ67" s="5"/>
      <c r="DXA67" s="5"/>
      <c r="DXB67" s="5"/>
      <c r="DXC67" s="5"/>
      <c r="DXD67" s="5"/>
      <c r="DXE67" s="5"/>
      <c r="DXF67" s="5"/>
      <c r="DXG67" s="5"/>
      <c r="DXH67" s="5"/>
      <c r="DXI67" s="5"/>
      <c r="DXJ67" s="5"/>
      <c r="DXK67" s="5"/>
      <c r="DXL67" s="5"/>
      <c r="DXM67" s="5"/>
      <c r="DXN67" s="5"/>
      <c r="DXO67" s="5"/>
      <c r="DXP67" s="5"/>
      <c r="DXQ67" s="5"/>
      <c r="DXR67" s="5"/>
      <c r="DXS67" s="5"/>
      <c r="DXT67" s="5"/>
      <c r="DXU67" s="5"/>
      <c r="DXV67" s="5"/>
      <c r="DXW67" s="5"/>
      <c r="DXX67" s="5"/>
      <c r="DXY67" s="5"/>
      <c r="DXZ67" s="5"/>
      <c r="DYA67" s="5"/>
      <c r="DYB67" s="5"/>
      <c r="DYC67" s="5"/>
      <c r="DYD67" s="5"/>
      <c r="DYE67" s="5"/>
      <c r="DYF67" s="5"/>
      <c r="DYG67" s="5"/>
      <c r="DYH67" s="5"/>
      <c r="DYI67" s="5"/>
      <c r="DYJ67" s="5"/>
      <c r="DYK67" s="5"/>
      <c r="DYL67" s="5"/>
      <c r="DYM67" s="5"/>
      <c r="DYN67" s="5"/>
      <c r="DYO67" s="5"/>
      <c r="DYP67" s="5"/>
      <c r="DYQ67" s="5"/>
      <c r="DYR67" s="5"/>
      <c r="DYS67" s="5"/>
      <c r="DYT67" s="5"/>
      <c r="DYU67" s="5"/>
      <c r="DYV67" s="5"/>
      <c r="DYW67" s="5"/>
      <c r="DYX67" s="5"/>
      <c r="DYY67" s="5"/>
      <c r="DYZ67" s="5"/>
      <c r="DZA67" s="5"/>
      <c r="DZB67" s="5"/>
      <c r="DZC67" s="5"/>
      <c r="DZD67" s="5"/>
      <c r="DZE67" s="5"/>
      <c r="DZF67" s="5"/>
      <c r="DZG67" s="5"/>
      <c r="DZH67" s="5"/>
      <c r="DZI67" s="5"/>
      <c r="DZJ67" s="5"/>
      <c r="DZK67" s="5"/>
      <c r="DZL67" s="5"/>
      <c r="DZM67" s="5"/>
      <c r="DZN67" s="5"/>
      <c r="DZO67" s="5"/>
      <c r="DZP67" s="5"/>
      <c r="DZQ67" s="5"/>
      <c r="DZR67" s="5"/>
      <c r="DZS67" s="5"/>
      <c r="DZT67" s="5"/>
      <c r="DZU67" s="5"/>
      <c r="DZV67" s="5"/>
      <c r="DZW67" s="5"/>
      <c r="DZX67" s="5"/>
      <c r="DZY67" s="5"/>
      <c r="DZZ67" s="5"/>
      <c r="EAA67" s="5"/>
      <c r="EAB67" s="5"/>
      <c r="EAC67" s="5"/>
      <c r="EAD67" s="5"/>
      <c r="EAE67" s="5"/>
      <c r="EAF67" s="5"/>
      <c r="EAG67" s="5"/>
      <c r="EAH67" s="5"/>
      <c r="EAI67" s="5"/>
      <c r="EAJ67" s="5"/>
      <c r="EAK67" s="5"/>
      <c r="EAL67" s="5"/>
      <c r="EAM67" s="5"/>
      <c r="EAN67" s="5"/>
      <c r="EAO67" s="5"/>
      <c r="EAP67" s="5"/>
      <c r="EAQ67" s="5"/>
      <c r="EAR67" s="5"/>
      <c r="EAS67" s="5"/>
      <c r="EAT67" s="5"/>
      <c r="EAU67" s="5"/>
      <c r="EAV67" s="5"/>
      <c r="EAW67" s="5"/>
      <c r="EAX67" s="5"/>
      <c r="EAY67" s="5"/>
      <c r="EAZ67" s="5"/>
      <c r="EBA67" s="5"/>
      <c r="EBB67" s="5"/>
      <c r="EBC67" s="5"/>
      <c r="EBD67" s="5"/>
      <c r="EBE67" s="5"/>
      <c r="EBF67" s="5"/>
      <c r="EBG67" s="5"/>
      <c r="EBH67" s="5"/>
      <c r="EBI67" s="5"/>
      <c r="EBJ67" s="5"/>
      <c r="EBK67" s="5"/>
      <c r="EBL67" s="5"/>
      <c r="EBM67" s="5"/>
      <c r="EBN67" s="5"/>
      <c r="EBO67" s="5"/>
      <c r="EBP67" s="5"/>
      <c r="EBQ67" s="5"/>
      <c r="EBR67" s="5"/>
      <c r="EBS67" s="5"/>
      <c r="EBT67" s="5"/>
      <c r="EBU67" s="5"/>
      <c r="EBV67" s="5"/>
      <c r="EBW67" s="5"/>
      <c r="EBX67" s="5"/>
      <c r="EBY67" s="5"/>
      <c r="EBZ67" s="5"/>
      <c r="ECA67" s="5"/>
      <c r="ECB67" s="5"/>
      <c r="ECC67" s="5"/>
      <c r="ECD67" s="5"/>
      <c r="ECE67" s="5"/>
      <c r="ECF67" s="5"/>
      <c r="ECG67" s="5"/>
      <c r="ECH67" s="5"/>
      <c r="ECI67" s="5"/>
      <c r="ECJ67" s="5"/>
      <c r="ECK67" s="5"/>
      <c r="ECL67" s="5"/>
      <c r="ECM67" s="5"/>
      <c r="ECN67" s="5"/>
      <c r="ECO67" s="5"/>
      <c r="ECP67" s="5"/>
      <c r="ECQ67" s="5"/>
      <c r="ECR67" s="5"/>
      <c r="ECS67" s="5"/>
      <c r="ECT67" s="5"/>
      <c r="ECU67" s="5"/>
      <c r="ECV67" s="5"/>
      <c r="ECW67" s="5"/>
      <c r="ECX67" s="5"/>
      <c r="ECY67" s="5"/>
      <c r="ECZ67" s="5"/>
      <c r="EDA67" s="5"/>
      <c r="EDB67" s="5"/>
      <c r="EDC67" s="5"/>
      <c r="EDD67" s="5"/>
      <c r="EDE67" s="5"/>
      <c r="EDF67" s="5"/>
      <c r="EDG67" s="5"/>
      <c r="EDH67" s="5"/>
      <c r="EDI67" s="5"/>
      <c r="EDJ67" s="5"/>
      <c r="EDK67" s="5"/>
      <c r="EDL67" s="5"/>
      <c r="EDM67" s="5"/>
      <c r="EDN67" s="5"/>
      <c r="EDO67" s="5"/>
      <c r="EDP67" s="5"/>
      <c r="EDQ67" s="5"/>
      <c r="EDR67" s="5"/>
      <c r="EDS67" s="5"/>
      <c r="EDT67" s="5"/>
      <c r="EDU67" s="5"/>
      <c r="EDV67" s="5"/>
      <c r="EDW67" s="5"/>
      <c r="EDX67" s="5"/>
      <c r="EDY67" s="5"/>
      <c r="EDZ67" s="5"/>
      <c r="EEA67" s="5"/>
      <c r="EEB67" s="5"/>
      <c r="EEC67" s="5"/>
      <c r="EED67" s="5"/>
      <c r="EEE67" s="5"/>
      <c r="EEF67" s="5"/>
      <c r="EEG67" s="5"/>
      <c r="EEH67" s="5"/>
      <c r="EEI67" s="5"/>
      <c r="EEJ67" s="5"/>
      <c r="EEK67" s="5"/>
      <c r="EEL67" s="5"/>
      <c r="EEM67" s="5"/>
      <c r="EEN67" s="5"/>
      <c r="EEO67" s="5"/>
      <c r="EEP67" s="5"/>
      <c r="EEQ67" s="5"/>
      <c r="EER67" s="5"/>
      <c r="EES67" s="5"/>
      <c r="EET67" s="5"/>
      <c r="EEU67" s="5"/>
      <c r="EEV67" s="5"/>
      <c r="EEW67" s="5"/>
      <c r="EEX67" s="5"/>
      <c r="EEY67" s="5"/>
      <c r="EEZ67" s="5"/>
      <c r="EFA67" s="5"/>
      <c r="EFB67" s="5"/>
      <c r="EFC67" s="5"/>
      <c r="EFD67" s="5"/>
      <c r="EFE67" s="5"/>
      <c r="EFF67" s="5"/>
      <c r="EFG67" s="5"/>
      <c r="EFH67" s="5"/>
      <c r="EFI67" s="5"/>
      <c r="EFJ67" s="5"/>
      <c r="EFK67" s="5"/>
      <c r="EFL67" s="5"/>
      <c r="EFM67" s="5"/>
      <c r="EFN67" s="5"/>
      <c r="EFO67" s="5"/>
      <c r="EFP67" s="5"/>
      <c r="EFQ67" s="5"/>
      <c r="EFR67" s="5"/>
      <c r="EFS67" s="5"/>
      <c r="EFT67" s="5"/>
      <c r="EFU67" s="5"/>
      <c r="EFV67" s="5"/>
      <c r="EFW67" s="5"/>
      <c r="EFX67" s="5"/>
      <c r="EFY67" s="5"/>
      <c r="EFZ67" s="5"/>
      <c r="EGA67" s="5"/>
      <c r="EGB67" s="5"/>
      <c r="EGC67" s="5"/>
      <c r="EGD67" s="5"/>
      <c r="EGE67" s="5"/>
      <c r="EGF67" s="5"/>
      <c r="EGG67" s="5"/>
      <c r="EGH67" s="5"/>
      <c r="EGI67" s="5"/>
      <c r="EGJ67" s="5"/>
      <c r="EGK67" s="5"/>
      <c r="EGL67" s="5"/>
      <c r="EGM67" s="5"/>
      <c r="EGN67" s="5"/>
      <c r="EGO67" s="5"/>
      <c r="EGP67" s="5"/>
      <c r="EGQ67" s="5"/>
      <c r="EGR67" s="5"/>
      <c r="EGS67" s="5"/>
      <c r="EGT67" s="5"/>
      <c r="EGU67" s="5"/>
      <c r="EGV67" s="5"/>
      <c r="EGW67" s="5"/>
      <c r="EGX67" s="5"/>
      <c r="EGY67" s="5"/>
      <c r="EGZ67" s="5"/>
      <c r="EHA67" s="5"/>
      <c r="EHB67" s="5"/>
      <c r="EHC67" s="5"/>
      <c r="EHD67" s="5"/>
      <c r="EHE67" s="5"/>
      <c r="EHF67" s="5"/>
      <c r="EHG67" s="5"/>
      <c r="EHH67" s="5"/>
      <c r="EHI67" s="5"/>
      <c r="EHJ67" s="5"/>
      <c r="EHK67" s="5"/>
      <c r="EHL67" s="5"/>
      <c r="EHM67" s="5"/>
      <c r="EHN67" s="5"/>
      <c r="EHO67" s="5"/>
      <c r="EHP67" s="5"/>
      <c r="EHQ67" s="5"/>
      <c r="EHR67" s="5"/>
      <c r="EHS67" s="5"/>
      <c r="EHT67" s="5"/>
      <c r="EHU67" s="5"/>
      <c r="EHV67" s="5"/>
      <c r="EHW67" s="5"/>
      <c r="EHX67" s="5"/>
      <c r="EHY67" s="5"/>
      <c r="EHZ67" s="5"/>
      <c r="EIA67" s="5"/>
      <c r="EIB67" s="5"/>
      <c r="EIC67" s="5"/>
      <c r="EID67" s="5"/>
      <c r="EIE67" s="5"/>
      <c r="EIF67" s="5"/>
      <c r="EIG67" s="5"/>
      <c r="EIH67" s="5"/>
      <c r="EII67" s="5"/>
      <c r="EIJ67" s="5"/>
      <c r="EIK67" s="5"/>
      <c r="EIL67" s="5"/>
      <c r="EIM67" s="5"/>
      <c r="EIN67" s="5"/>
      <c r="EIO67" s="5"/>
      <c r="EIP67" s="5"/>
      <c r="EIQ67" s="5"/>
      <c r="EIR67" s="5"/>
      <c r="EIS67" s="5"/>
      <c r="EIT67" s="5"/>
      <c r="EIU67" s="5"/>
      <c r="EIV67" s="5"/>
      <c r="EIW67" s="5"/>
      <c r="EIX67" s="5"/>
      <c r="EIY67" s="5"/>
      <c r="EIZ67" s="5"/>
      <c r="EJA67" s="5"/>
      <c r="EJB67" s="5"/>
      <c r="EJC67" s="5"/>
      <c r="EJD67" s="5"/>
      <c r="EJE67" s="5"/>
      <c r="EJF67" s="5"/>
      <c r="EJG67" s="5"/>
      <c r="EJH67" s="5"/>
      <c r="EJI67" s="5"/>
      <c r="EJJ67" s="5"/>
      <c r="EJK67" s="5"/>
      <c r="EJL67" s="5"/>
      <c r="EJM67" s="5"/>
      <c r="EJN67" s="5"/>
      <c r="EJO67" s="5"/>
      <c r="EJP67" s="5"/>
      <c r="EJQ67" s="5"/>
      <c r="EJR67" s="5"/>
      <c r="EJS67" s="5"/>
      <c r="EJT67" s="5"/>
      <c r="EJU67" s="5"/>
      <c r="EJV67" s="5"/>
      <c r="EJW67" s="5"/>
      <c r="EJX67" s="5"/>
      <c r="EJY67" s="5"/>
      <c r="EJZ67" s="5"/>
      <c r="EKA67" s="5"/>
      <c r="EKB67" s="5"/>
      <c r="EKC67" s="5"/>
      <c r="EKD67" s="5"/>
      <c r="EKE67" s="5"/>
      <c r="EKF67" s="5"/>
      <c r="EKG67" s="5"/>
      <c r="EKH67" s="5"/>
      <c r="EKI67" s="5"/>
      <c r="EKJ67" s="5"/>
      <c r="EKK67" s="5"/>
      <c r="EKL67" s="5"/>
      <c r="EKM67" s="5"/>
      <c r="EKN67" s="5"/>
      <c r="EKO67" s="5"/>
      <c r="EKP67" s="5"/>
      <c r="EKQ67" s="5"/>
      <c r="EKR67" s="5"/>
      <c r="EKS67" s="5"/>
      <c r="EKT67" s="5"/>
      <c r="EKU67" s="5"/>
      <c r="EKV67" s="5"/>
      <c r="EKW67" s="5"/>
      <c r="EKX67" s="5"/>
      <c r="EKY67" s="5"/>
      <c r="EKZ67" s="5"/>
      <c r="ELA67" s="5"/>
      <c r="ELB67" s="5"/>
      <c r="ELC67" s="5"/>
      <c r="ELD67" s="5"/>
      <c r="ELE67" s="5"/>
      <c r="ELF67" s="5"/>
      <c r="ELG67" s="5"/>
      <c r="ELH67" s="5"/>
      <c r="ELI67" s="5"/>
      <c r="ELJ67" s="5"/>
      <c r="ELK67" s="5"/>
      <c r="ELL67" s="5"/>
      <c r="ELM67" s="5"/>
      <c r="ELN67" s="5"/>
      <c r="ELO67" s="5"/>
      <c r="ELP67" s="5"/>
      <c r="ELQ67" s="5"/>
      <c r="ELR67" s="5"/>
      <c r="ELS67" s="5"/>
      <c r="ELT67" s="5"/>
      <c r="ELU67" s="5"/>
      <c r="ELV67" s="5"/>
      <c r="ELW67" s="5"/>
      <c r="ELX67" s="5"/>
      <c r="ELY67" s="5"/>
      <c r="ELZ67" s="5"/>
      <c r="EMA67" s="5"/>
      <c r="EMB67" s="5"/>
      <c r="EMC67" s="5"/>
      <c r="EMD67" s="5"/>
      <c r="EME67" s="5"/>
      <c r="EMF67" s="5"/>
      <c r="EMG67" s="5"/>
      <c r="EMH67" s="5"/>
      <c r="EMI67" s="5"/>
      <c r="EMJ67" s="5"/>
      <c r="EMK67" s="5"/>
      <c r="EML67" s="5"/>
      <c r="EMM67" s="5"/>
      <c r="EMN67" s="5"/>
      <c r="EMO67" s="5"/>
      <c r="EMP67" s="5"/>
      <c r="EMQ67" s="5"/>
      <c r="EMR67" s="5"/>
      <c r="EMS67" s="5"/>
      <c r="EMT67" s="5"/>
      <c r="EMU67" s="5"/>
      <c r="EMV67" s="5"/>
      <c r="EMW67" s="5"/>
      <c r="EMX67" s="5"/>
      <c r="EMY67" s="5"/>
      <c r="EMZ67" s="5"/>
      <c r="ENA67" s="5"/>
      <c r="ENB67" s="5"/>
      <c r="ENC67" s="5"/>
      <c r="END67" s="5"/>
      <c r="ENE67" s="5"/>
      <c r="ENF67" s="5"/>
      <c r="ENG67" s="5"/>
      <c r="ENH67" s="5"/>
      <c r="ENI67" s="5"/>
      <c r="ENJ67" s="5"/>
      <c r="ENK67" s="5"/>
      <c r="ENL67" s="5"/>
      <c r="ENM67" s="5"/>
      <c r="ENN67" s="5"/>
      <c r="ENO67" s="5"/>
      <c r="ENP67" s="5"/>
      <c r="ENQ67" s="5"/>
      <c r="ENR67" s="5"/>
      <c r="ENS67" s="5"/>
      <c r="ENT67" s="5"/>
      <c r="ENU67" s="5"/>
      <c r="ENV67" s="5"/>
      <c r="ENW67" s="5"/>
      <c r="ENX67" s="5"/>
      <c r="ENY67" s="5"/>
      <c r="ENZ67" s="5"/>
      <c r="EOA67" s="5"/>
      <c r="EOB67" s="5"/>
      <c r="EOC67" s="5"/>
      <c r="EOD67" s="5"/>
      <c r="EOE67" s="5"/>
      <c r="EOF67" s="5"/>
      <c r="EOG67" s="5"/>
      <c r="EOH67" s="5"/>
      <c r="EOI67" s="5"/>
      <c r="EOJ67" s="5"/>
      <c r="EOK67" s="5"/>
      <c r="EOL67" s="5"/>
      <c r="EOM67" s="5"/>
      <c r="EON67" s="5"/>
      <c r="EOO67" s="5"/>
      <c r="EOP67" s="5"/>
      <c r="EOQ67" s="5"/>
      <c r="EOR67" s="5"/>
      <c r="EOS67" s="5"/>
      <c r="EOT67" s="5"/>
      <c r="EOU67" s="5"/>
      <c r="EOV67" s="5"/>
      <c r="EOW67" s="5"/>
      <c r="EOX67" s="5"/>
      <c r="EOY67" s="5"/>
      <c r="EOZ67" s="5"/>
      <c r="EPA67" s="5"/>
      <c r="EPB67" s="5"/>
      <c r="EPC67" s="5"/>
      <c r="EPD67" s="5"/>
      <c r="EPE67" s="5"/>
      <c r="EPF67" s="5"/>
      <c r="EPG67" s="5"/>
      <c r="EPH67" s="5"/>
      <c r="EPI67" s="5"/>
      <c r="EPJ67" s="5"/>
      <c r="EPK67" s="5"/>
      <c r="EPL67" s="5"/>
      <c r="EPM67" s="5"/>
      <c r="EPN67" s="5"/>
      <c r="EPO67" s="5"/>
      <c r="EPP67" s="5"/>
      <c r="EPQ67" s="5"/>
      <c r="EPR67" s="5"/>
      <c r="EPS67" s="5"/>
      <c r="EPT67" s="5"/>
      <c r="EPU67" s="5"/>
      <c r="EPV67" s="5"/>
      <c r="EPW67" s="5"/>
      <c r="EPX67" s="5"/>
      <c r="EPY67" s="5"/>
      <c r="EPZ67" s="5"/>
      <c r="EQA67" s="5"/>
      <c r="EQB67" s="5"/>
      <c r="EQC67" s="5"/>
      <c r="EQD67" s="5"/>
      <c r="EQE67" s="5"/>
      <c r="EQF67" s="5"/>
      <c r="EQG67" s="5"/>
      <c r="EQH67" s="5"/>
      <c r="EQI67" s="5"/>
      <c r="EQJ67" s="5"/>
      <c r="EQK67" s="5"/>
      <c r="EQL67" s="5"/>
      <c r="EQM67" s="5"/>
      <c r="EQN67" s="5"/>
      <c r="EQO67" s="5"/>
      <c r="EQP67" s="5"/>
      <c r="EQQ67" s="5"/>
      <c r="EQR67" s="5"/>
      <c r="EQS67" s="5"/>
      <c r="EQT67" s="5"/>
      <c r="EQU67" s="5"/>
      <c r="EQV67" s="5"/>
      <c r="EQW67" s="5"/>
      <c r="EQX67" s="5"/>
      <c r="EQY67" s="5"/>
      <c r="EQZ67" s="5"/>
      <c r="ERA67" s="5"/>
      <c r="ERB67" s="5"/>
      <c r="ERC67" s="5"/>
      <c r="ERD67" s="5"/>
      <c r="ERE67" s="5"/>
      <c r="ERF67" s="5"/>
      <c r="ERG67" s="5"/>
      <c r="ERH67" s="5"/>
      <c r="ERI67" s="5"/>
      <c r="ERJ67" s="5"/>
      <c r="ERK67" s="5"/>
      <c r="ERL67" s="5"/>
      <c r="ERM67" s="5"/>
      <c r="ERN67" s="5"/>
      <c r="ERO67" s="5"/>
      <c r="ERP67" s="5"/>
      <c r="ERQ67" s="5"/>
      <c r="ERR67" s="5"/>
      <c r="ERS67" s="5"/>
      <c r="ERT67" s="5"/>
      <c r="ERU67" s="5"/>
      <c r="ERV67" s="5"/>
      <c r="ERW67" s="5"/>
      <c r="ERX67" s="5"/>
      <c r="ERY67" s="5"/>
      <c r="ERZ67" s="5"/>
      <c r="ESA67" s="5"/>
      <c r="ESB67" s="5"/>
      <c r="ESC67" s="5"/>
      <c r="ESD67" s="5"/>
      <c r="ESE67" s="5"/>
      <c r="ESF67" s="5"/>
      <c r="ESG67" s="5"/>
      <c r="ESH67" s="5"/>
      <c r="ESI67" s="5"/>
      <c r="ESJ67" s="5"/>
      <c r="ESK67" s="5"/>
      <c r="ESL67" s="5"/>
      <c r="ESM67" s="5"/>
      <c r="ESN67" s="5"/>
      <c r="ESO67" s="5"/>
      <c r="ESP67" s="5"/>
      <c r="ESQ67" s="5"/>
      <c r="ESR67" s="5"/>
      <c r="ESS67" s="5"/>
      <c r="EST67" s="5"/>
      <c r="ESU67" s="5"/>
      <c r="ESV67" s="5"/>
      <c r="ESW67" s="5"/>
      <c r="ESX67" s="5"/>
      <c r="ESY67" s="5"/>
      <c r="ESZ67" s="5"/>
      <c r="ETA67" s="5"/>
      <c r="ETB67" s="5"/>
      <c r="ETC67" s="5"/>
      <c r="ETD67" s="5"/>
      <c r="ETE67" s="5"/>
      <c r="ETF67" s="5"/>
      <c r="ETG67" s="5"/>
      <c r="ETH67" s="5"/>
      <c r="ETI67" s="5"/>
      <c r="ETJ67" s="5"/>
      <c r="ETK67" s="5"/>
      <c r="ETL67" s="5"/>
      <c r="ETM67" s="5"/>
      <c r="ETN67" s="5"/>
      <c r="ETO67" s="5"/>
      <c r="ETP67" s="5"/>
      <c r="ETQ67" s="5"/>
      <c r="ETR67" s="5"/>
      <c r="ETS67" s="5"/>
      <c r="ETT67" s="5"/>
      <c r="ETU67" s="5"/>
      <c r="ETV67" s="5"/>
      <c r="ETW67" s="5"/>
      <c r="ETX67" s="5"/>
      <c r="ETY67" s="5"/>
      <c r="ETZ67" s="5"/>
      <c r="EUA67" s="5"/>
      <c r="EUB67" s="5"/>
      <c r="EUC67" s="5"/>
      <c r="EUD67" s="5"/>
      <c r="EUE67" s="5"/>
      <c r="EUF67" s="5"/>
      <c r="EUG67" s="5"/>
      <c r="EUH67" s="5"/>
      <c r="EUI67" s="5"/>
      <c r="EUJ67" s="5"/>
      <c r="EUK67" s="5"/>
      <c r="EUL67" s="5"/>
      <c r="EUM67" s="5"/>
      <c r="EUN67" s="5"/>
      <c r="EUO67" s="5"/>
      <c r="EUP67" s="5"/>
      <c r="EUQ67" s="5"/>
      <c r="EUR67" s="5"/>
      <c r="EUS67" s="5"/>
      <c r="EUT67" s="5"/>
      <c r="EUU67" s="5"/>
      <c r="EUV67" s="5"/>
      <c r="EUW67" s="5"/>
      <c r="EUX67" s="5"/>
      <c r="EUY67" s="5"/>
      <c r="EUZ67" s="5"/>
      <c r="EVA67" s="5"/>
      <c r="EVB67" s="5"/>
      <c r="EVC67" s="5"/>
      <c r="EVD67" s="5"/>
      <c r="EVE67" s="5"/>
      <c r="EVF67" s="5"/>
      <c r="EVG67" s="5"/>
      <c r="EVH67" s="5"/>
      <c r="EVI67" s="5"/>
      <c r="EVJ67" s="5"/>
      <c r="EVK67" s="5"/>
      <c r="EVL67" s="5"/>
      <c r="EVM67" s="5"/>
      <c r="EVN67" s="5"/>
      <c r="EVO67" s="5"/>
      <c r="EVP67" s="5"/>
      <c r="EVQ67" s="5"/>
      <c r="EVR67" s="5"/>
      <c r="EVS67" s="5"/>
      <c r="EVT67" s="5"/>
      <c r="EVU67" s="5"/>
      <c r="EVV67" s="5"/>
      <c r="EVW67" s="5"/>
      <c r="EVX67" s="5"/>
      <c r="EVY67" s="5"/>
      <c r="EVZ67" s="5"/>
      <c r="EWA67" s="5"/>
      <c r="EWB67" s="5"/>
      <c r="EWC67" s="5"/>
      <c r="EWD67" s="5"/>
      <c r="EWE67" s="5"/>
      <c r="EWF67" s="5"/>
      <c r="EWG67" s="5"/>
      <c r="EWH67" s="5"/>
      <c r="EWI67" s="5"/>
      <c r="EWJ67" s="5"/>
      <c r="EWK67" s="5"/>
      <c r="EWL67" s="5"/>
      <c r="EWM67" s="5"/>
      <c r="EWN67" s="5"/>
      <c r="EWO67" s="5"/>
      <c r="EWP67" s="5"/>
      <c r="EWQ67" s="5"/>
      <c r="EWR67" s="5"/>
      <c r="EWS67" s="5"/>
      <c r="EWT67" s="5"/>
      <c r="EWU67" s="5"/>
      <c r="EWV67" s="5"/>
      <c r="EWW67" s="5"/>
      <c r="EWX67" s="5"/>
      <c r="EWY67" s="5"/>
      <c r="EWZ67" s="5"/>
      <c r="EXA67" s="5"/>
      <c r="EXB67" s="5"/>
      <c r="EXC67" s="5"/>
      <c r="EXD67" s="5"/>
      <c r="EXE67" s="5"/>
      <c r="EXF67" s="5"/>
      <c r="EXG67" s="5"/>
      <c r="EXH67" s="5"/>
      <c r="EXI67" s="5"/>
      <c r="EXJ67" s="5"/>
      <c r="EXK67" s="5"/>
      <c r="EXL67" s="5"/>
      <c r="EXM67" s="5"/>
      <c r="EXN67" s="5"/>
      <c r="EXO67" s="5"/>
      <c r="EXP67" s="5"/>
      <c r="EXQ67" s="5"/>
      <c r="EXR67" s="5"/>
      <c r="EXS67" s="5"/>
      <c r="EXT67" s="5"/>
      <c r="EXU67" s="5"/>
      <c r="EXV67" s="5"/>
      <c r="EXW67" s="5"/>
      <c r="EXX67" s="5"/>
      <c r="EXY67" s="5"/>
      <c r="EXZ67" s="5"/>
      <c r="EYA67" s="5"/>
      <c r="EYB67" s="5"/>
      <c r="EYC67" s="5"/>
      <c r="EYD67" s="5"/>
      <c r="EYE67" s="5"/>
      <c r="EYF67" s="5"/>
      <c r="EYG67" s="5"/>
      <c r="EYH67" s="5"/>
      <c r="EYI67" s="5"/>
      <c r="EYJ67" s="5"/>
      <c r="EYK67" s="5"/>
      <c r="EYL67" s="5"/>
      <c r="EYM67" s="5"/>
      <c r="EYN67" s="5"/>
      <c r="EYO67" s="5"/>
      <c r="EYP67" s="5"/>
      <c r="EYQ67" s="5"/>
      <c r="EYR67" s="5"/>
      <c r="EYS67" s="5"/>
      <c r="EYT67" s="5"/>
      <c r="EYU67" s="5"/>
      <c r="EYV67" s="5"/>
      <c r="EYW67" s="5"/>
      <c r="EYX67" s="5"/>
      <c r="EYY67" s="5"/>
      <c r="EYZ67" s="5"/>
      <c r="EZA67" s="5"/>
      <c r="EZB67" s="5"/>
      <c r="EZC67" s="5"/>
      <c r="EZD67" s="5"/>
      <c r="EZE67" s="5"/>
      <c r="EZF67" s="5"/>
      <c r="EZG67" s="5"/>
      <c r="EZH67" s="5"/>
      <c r="EZI67" s="5"/>
      <c r="EZJ67" s="5"/>
      <c r="EZK67" s="5"/>
      <c r="EZL67" s="5"/>
      <c r="EZM67" s="5"/>
      <c r="EZN67" s="5"/>
      <c r="EZO67" s="5"/>
      <c r="EZP67" s="5"/>
      <c r="EZQ67" s="5"/>
      <c r="EZR67" s="5"/>
      <c r="EZS67" s="5"/>
      <c r="EZT67" s="5"/>
      <c r="EZU67" s="5"/>
      <c r="EZV67" s="5"/>
      <c r="EZW67" s="5"/>
      <c r="EZX67" s="5"/>
      <c r="EZY67" s="5"/>
      <c r="EZZ67" s="5"/>
      <c r="FAA67" s="5"/>
      <c r="FAB67" s="5"/>
      <c r="FAC67" s="5"/>
      <c r="FAD67" s="5"/>
      <c r="FAE67" s="5"/>
      <c r="FAF67" s="5"/>
      <c r="FAG67" s="5"/>
      <c r="FAH67" s="5"/>
      <c r="FAI67" s="5"/>
      <c r="FAJ67" s="5"/>
      <c r="FAK67" s="5"/>
      <c r="FAL67" s="5"/>
      <c r="FAM67" s="5"/>
      <c r="FAN67" s="5"/>
      <c r="FAO67" s="5"/>
      <c r="FAP67" s="5"/>
      <c r="FAQ67" s="5"/>
      <c r="FAR67" s="5"/>
      <c r="FAS67" s="5"/>
      <c r="FAT67" s="5"/>
      <c r="FAU67" s="5"/>
      <c r="FAV67" s="5"/>
      <c r="FAW67" s="5"/>
      <c r="FAX67" s="5"/>
      <c r="FAY67" s="5"/>
      <c r="FAZ67" s="5"/>
      <c r="FBA67" s="5"/>
      <c r="FBB67" s="5"/>
      <c r="FBC67" s="5"/>
      <c r="FBD67" s="5"/>
      <c r="FBE67" s="5"/>
      <c r="FBF67" s="5"/>
      <c r="FBG67" s="5"/>
      <c r="FBH67" s="5"/>
      <c r="FBI67" s="5"/>
      <c r="FBJ67" s="5"/>
      <c r="FBK67" s="5"/>
      <c r="FBL67" s="5"/>
      <c r="FBM67" s="5"/>
      <c r="FBN67" s="5"/>
      <c r="FBO67" s="5"/>
      <c r="FBP67" s="5"/>
      <c r="FBQ67" s="5"/>
      <c r="FBR67" s="5"/>
      <c r="FBS67" s="5"/>
      <c r="FBT67" s="5"/>
      <c r="FBU67" s="5"/>
      <c r="FBV67" s="5"/>
      <c r="FBW67" s="5"/>
      <c r="FBX67" s="5"/>
      <c r="FBY67" s="5"/>
      <c r="FBZ67" s="5"/>
      <c r="FCA67" s="5"/>
      <c r="FCB67" s="5"/>
      <c r="FCC67" s="5"/>
      <c r="FCD67" s="5"/>
      <c r="FCE67" s="5"/>
      <c r="FCF67" s="5"/>
      <c r="FCG67" s="5"/>
      <c r="FCH67" s="5"/>
      <c r="FCI67" s="5"/>
      <c r="FCJ67" s="5"/>
      <c r="FCK67" s="5"/>
      <c r="FCL67" s="5"/>
      <c r="FCM67" s="5"/>
      <c r="FCN67" s="5"/>
      <c r="FCO67" s="5"/>
      <c r="FCP67" s="5"/>
      <c r="FCQ67" s="5"/>
      <c r="FCR67" s="5"/>
      <c r="FCS67" s="5"/>
      <c r="FCT67" s="5"/>
      <c r="FCU67" s="5"/>
      <c r="FCV67" s="5"/>
      <c r="FCW67" s="5"/>
      <c r="FCX67" s="5"/>
      <c r="FCY67" s="5"/>
      <c r="FCZ67" s="5"/>
      <c r="FDA67" s="5"/>
      <c r="FDB67" s="5"/>
      <c r="FDC67" s="5"/>
      <c r="FDD67" s="5"/>
      <c r="FDE67" s="5"/>
      <c r="FDF67" s="5"/>
      <c r="FDG67" s="5"/>
      <c r="FDH67" s="5"/>
      <c r="FDI67" s="5"/>
      <c r="FDJ67" s="5"/>
      <c r="FDK67" s="5"/>
      <c r="FDL67" s="5"/>
      <c r="FDM67" s="5"/>
      <c r="FDN67" s="5"/>
      <c r="FDO67" s="5"/>
      <c r="FDP67" s="5"/>
      <c r="FDQ67" s="5"/>
      <c r="FDR67" s="5"/>
      <c r="FDS67" s="5"/>
      <c r="FDT67" s="5"/>
      <c r="FDU67" s="5"/>
      <c r="FDV67" s="5"/>
      <c r="FDW67" s="5"/>
      <c r="FDX67" s="5"/>
      <c r="FDY67" s="5"/>
      <c r="FDZ67" s="5"/>
      <c r="FEA67" s="5"/>
      <c r="FEB67" s="5"/>
      <c r="FEC67" s="5"/>
      <c r="FED67" s="5"/>
      <c r="FEE67" s="5"/>
      <c r="FEF67" s="5"/>
      <c r="FEG67" s="5"/>
      <c r="FEH67" s="5"/>
      <c r="FEI67" s="5"/>
      <c r="FEJ67" s="5"/>
      <c r="FEK67" s="5"/>
      <c r="FEL67" s="5"/>
      <c r="FEM67" s="5"/>
      <c r="FEN67" s="5"/>
      <c r="FEO67" s="5"/>
      <c r="FEP67" s="5"/>
      <c r="FEQ67" s="5"/>
      <c r="FER67" s="5"/>
      <c r="FES67" s="5"/>
      <c r="FET67" s="5"/>
      <c r="FEU67" s="5"/>
      <c r="FEV67" s="5"/>
      <c r="FEW67" s="5"/>
      <c r="FEX67" s="5"/>
      <c r="FEY67" s="5"/>
      <c r="FEZ67" s="5"/>
      <c r="FFA67" s="5"/>
      <c r="FFB67" s="5"/>
      <c r="FFC67" s="5"/>
      <c r="FFD67" s="5"/>
      <c r="FFE67" s="5"/>
      <c r="FFF67" s="5"/>
      <c r="FFG67" s="5"/>
      <c r="FFH67" s="5"/>
      <c r="FFI67" s="5"/>
      <c r="FFJ67" s="5"/>
      <c r="FFK67" s="5"/>
      <c r="FFL67" s="5"/>
      <c r="FFM67" s="5"/>
      <c r="FFN67" s="5"/>
      <c r="FFO67" s="5"/>
      <c r="FFP67" s="5"/>
      <c r="FFQ67" s="5"/>
      <c r="FFR67" s="5"/>
      <c r="FFS67" s="5"/>
      <c r="FFT67" s="5"/>
      <c r="FFU67" s="5"/>
      <c r="FFV67" s="5"/>
      <c r="FFW67" s="5"/>
      <c r="FFX67" s="5"/>
      <c r="FFY67" s="5"/>
      <c r="FFZ67" s="5"/>
      <c r="FGA67" s="5"/>
      <c r="FGB67" s="5"/>
      <c r="FGC67" s="5"/>
      <c r="FGD67" s="5"/>
      <c r="FGE67" s="5"/>
      <c r="FGF67" s="5"/>
      <c r="FGG67" s="5"/>
      <c r="FGH67" s="5"/>
      <c r="FGI67" s="5"/>
      <c r="FGJ67" s="5"/>
      <c r="FGK67" s="5"/>
      <c r="FGL67" s="5"/>
      <c r="FGM67" s="5"/>
      <c r="FGN67" s="5"/>
      <c r="FGO67" s="5"/>
      <c r="FGP67" s="5"/>
      <c r="FGQ67" s="5"/>
      <c r="FGR67" s="5"/>
      <c r="FGS67" s="5"/>
      <c r="FGT67" s="5"/>
      <c r="FGU67" s="5"/>
      <c r="FGV67" s="5"/>
      <c r="FGW67" s="5"/>
      <c r="FGX67" s="5"/>
      <c r="FGY67" s="5"/>
      <c r="FGZ67" s="5"/>
      <c r="FHA67" s="5"/>
      <c r="FHB67" s="5"/>
      <c r="FHC67" s="5"/>
      <c r="FHD67" s="5"/>
      <c r="FHE67" s="5"/>
      <c r="FHF67" s="5"/>
      <c r="FHG67" s="5"/>
      <c r="FHH67" s="5"/>
      <c r="FHI67" s="5"/>
      <c r="FHJ67" s="5"/>
      <c r="FHK67" s="5"/>
      <c r="FHL67" s="5"/>
      <c r="FHM67" s="5"/>
      <c r="FHN67" s="5"/>
      <c r="FHO67" s="5"/>
      <c r="FHP67" s="5"/>
      <c r="FHQ67" s="5"/>
      <c r="FHR67" s="5"/>
      <c r="FHS67" s="5"/>
      <c r="FHT67" s="5"/>
      <c r="FHU67" s="5"/>
      <c r="FHV67" s="5"/>
      <c r="FHW67" s="5"/>
      <c r="FHX67" s="5"/>
      <c r="FHY67" s="5"/>
      <c r="FHZ67" s="5"/>
      <c r="FIA67" s="5"/>
      <c r="FIB67" s="5"/>
      <c r="FIC67" s="5"/>
      <c r="FID67" s="5"/>
      <c r="FIE67" s="5"/>
      <c r="FIF67" s="5"/>
      <c r="FIG67" s="5"/>
      <c r="FIH67" s="5"/>
      <c r="FII67" s="5"/>
      <c r="FIJ67" s="5"/>
      <c r="FIK67" s="5"/>
      <c r="FIL67" s="5"/>
      <c r="FIM67" s="5"/>
      <c r="FIN67" s="5"/>
      <c r="FIO67" s="5"/>
      <c r="FIP67" s="5"/>
      <c r="FIQ67" s="5"/>
      <c r="FIR67" s="5"/>
      <c r="FIS67" s="5"/>
      <c r="FIT67" s="5"/>
      <c r="FIU67" s="5"/>
      <c r="FIV67" s="5"/>
      <c r="FIW67" s="5"/>
      <c r="FIX67" s="5"/>
      <c r="FIY67" s="5"/>
      <c r="FIZ67" s="5"/>
      <c r="FJA67" s="5"/>
      <c r="FJB67" s="5"/>
      <c r="FJC67" s="5"/>
      <c r="FJD67" s="5"/>
      <c r="FJE67" s="5"/>
      <c r="FJF67" s="5"/>
      <c r="FJG67" s="5"/>
      <c r="FJH67" s="5"/>
      <c r="FJI67" s="5"/>
      <c r="FJJ67" s="5"/>
      <c r="FJK67" s="5"/>
      <c r="FJL67" s="5"/>
      <c r="FJM67" s="5"/>
      <c r="FJN67" s="5"/>
      <c r="FJO67" s="5"/>
      <c r="FJP67" s="5"/>
      <c r="FJQ67" s="5"/>
      <c r="FJR67" s="5"/>
      <c r="FJS67" s="5"/>
      <c r="FJT67" s="5"/>
      <c r="FJU67" s="5"/>
      <c r="FJV67" s="5"/>
      <c r="FJW67" s="5"/>
      <c r="FJX67" s="5"/>
      <c r="FJY67" s="5"/>
      <c r="FJZ67" s="5"/>
      <c r="FKA67" s="5"/>
      <c r="FKB67" s="5"/>
      <c r="FKC67" s="5"/>
      <c r="FKD67" s="5"/>
      <c r="FKE67" s="5"/>
      <c r="FKF67" s="5"/>
      <c r="FKG67" s="5"/>
      <c r="FKH67" s="5"/>
      <c r="FKI67" s="5"/>
      <c r="FKJ67" s="5"/>
      <c r="FKK67" s="5"/>
      <c r="FKL67" s="5"/>
      <c r="FKM67" s="5"/>
      <c r="FKN67" s="5"/>
      <c r="FKO67" s="5"/>
      <c r="FKP67" s="5"/>
      <c r="FKQ67" s="5"/>
      <c r="FKR67" s="5"/>
      <c r="FKS67" s="5"/>
      <c r="FKT67" s="5"/>
      <c r="FKU67" s="5"/>
      <c r="FKV67" s="5"/>
      <c r="FKW67" s="5"/>
      <c r="FKX67" s="5"/>
      <c r="FKY67" s="5"/>
      <c r="FKZ67" s="5"/>
      <c r="FLA67" s="5"/>
      <c r="FLB67" s="5"/>
      <c r="FLC67" s="5"/>
      <c r="FLD67" s="5"/>
      <c r="FLE67" s="5"/>
      <c r="FLF67" s="5"/>
      <c r="FLG67" s="5"/>
      <c r="FLH67" s="5"/>
      <c r="FLI67" s="5"/>
      <c r="FLJ67" s="5"/>
      <c r="FLK67" s="5"/>
      <c r="FLL67" s="5"/>
      <c r="FLM67" s="5"/>
      <c r="FLN67" s="5"/>
      <c r="FLO67" s="5"/>
      <c r="FLP67" s="5"/>
      <c r="FLQ67" s="5"/>
      <c r="FLR67" s="5"/>
      <c r="FLS67" s="5"/>
      <c r="FLT67" s="5"/>
      <c r="FLU67" s="5"/>
      <c r="FLV67" s="5"/>
      <c r="FLW67" s="5"/>
      <c r="FLX67" s="5"/>
      <c r="FLY67" s="5"/>
      <c r="FLZ67" s="5"/>
      <c r="FMA67" s="5"/>
      <c r="FMB67" s="5"/>
      <c r="FMC67" s="5"/>
      <c r="FMD67" s="5"/>
      <c r="FME67" s="5"/>
      <c r="FMF67" s="5"/>
      <c r="FMG67" s="5"/>
      <c r="FMH67" s="5"/>
      <c r="FMI67" s="5"/>
      <c r="FMJ67" s="5"/>
      <c r="FMK67" s="5"/>
      <c r="FML67" s="5"/>
      <c r="FMM67" s="5"/>
      <c r="FMN67" s="5"/>
      <c r="FMO67" s="5"/>
      <c r="FMP67" s="5"/>
      <c r="FMQ67" s="5"/>
      <c r="FMR67" s="5"/>
      <c r="FMS67" s="5"/>
      <c r="FMT67" s="5"/>
      <c r="FMU67" s="5"/>
      <c r="FMV67" s="5"/>
      <c r="FMW67" s="5"/>
      <c r="FMX67" s="5"/>
      <c r="FMY67" s="5"/>
      <c r="FMZ67" s="5"/>
      <c r="FNA67" s="5"/>
      <c r="FNB67" s="5"/>
      <c r="FNC67" s="5"/>
      <c r="FND67" s="5"/>
      <c r="FNE67" s="5"/>
      <c r="FNF67" s="5"/>
      <c r="FNG67" s="5"/>
      <c r="FNH67" s="5"/>
      <c r="FNI67" s="5"/>
      <c r="FNJ67" s="5"/>
      <c r="FNK67" s="5"/>
      <c r="FNL67" s="5"/>
      <c r="FNM67" s="5"/>
      <c r="FNN67" s="5"/>
      <c r="FNO67" s="5"/>
      <c r="FNP67" s="5"/>
      <c r="FNQ67" s="5"/>
      <c r="FNR67" s="5"/>
      <c r="FNS67" s="5"/>
      <c r="FNT67" s="5"/>
      <c r="FNU67" s="5"/>
      <c r="FNV67" s="5"/>
      <c r="FNW67" s="5"/>
      <c r="FNX67" s="5"/>
      <c r="FNY67" s="5"/>
      <c r="FNZ67" s="5"/>
      <c r="FOA67" s="5"/>
      <c r="FOB67" s="5"/>
      <c r="FOC67" s="5"/>
      <c r="FOD67" s="5"/>
      <c r="FOE67" s="5"/>
      <c r="FOF67" s="5"/>
      <c r="FOG67" s="5"/>
      <c r="FOH67" s="5"/>
      <c r="FOI67" s="5"/>
      <c r="FOJ67" s="5"/>
      <c r="FOK67" s="5"/>
      <c r="FOL67" s="5"/>
      <c r="FOM67" s="5"/>
      <c r="FON67" s="5"/>
      <c r="FOO67" s="5"/>
      <c r="FOP67" s="5"/>
      <c r="FOQ67" s="5"/>
      <c r="FOR67" s="5"/>
      <c r="FOS67" s="5"/>
      <c r="FOT67" s="5"/>
      <c r="FOU67" s="5"/>
      <c r="FOV67" s="5"/>
      <c r="FOW67" s="5"/>
      <c r="FOX67" s="5"/>
      <c r="FOY67" s="5"/>
      <c r="FOZ67" s="5"/>
      <c r="FPA67" s="5"/>
      <c r="FPB67" s="5"/>
      <c r="FPC67" s="5"/>
      <c r="FPD67" s="5"/>
      <c r="FPE67" s="5"/>
      <c r="FPF67" s="5"/>
      <c r="FPG67" s="5"/>
      <c r="FPH67" s="5"/>
      <c r="FPI67" s="5"/>
      <c r="FPJ67" s="5"/>
      <c r="FPK67" s="5"/>
      <c r="FPL67" s="5"/>
      <c r="FPM67" s="5"/>
      <c r="FPN67" s="5"/>
      <c r="FPO67" s="5"/>
      <c r="FPP67" s="5"/>
      <c r="FPQ67" s="5"/>
      <c r="FPR67" s="5"/>
      <c r="FPS67" s="5"/>
      <c r="FPT67" s="5"/>
      <c r="FPU67" s="5"/>
      <c r="FPV67" s="5"/>
      <c r="FPW67" s="5"/>
      <c r="FPX67" s="5"/>
      <c r="FPY67" s="5"/>
      <c r="FPZ67" s="5"/>
      <c r="FQA67" s="5"/>
      <c r="FQB67" s="5"/>
      <c r="FQC67" s="5"/>
      <c r="FQD67" s="5"/>
      <c r="FQE67" s="5"/>
      <c r="FQF67" s="5"/>
      <c r="FQG67" s="5"/>
      <c r="FQH67" s="5"/>
      <c r="FQI67" s="5"/>
      <c r="FQJ67" s="5"/>
      <c r="FQK67" s="5"/>
      <c r="FQL67" s="5"/>
      <c r="FQM67" s="5"/>
      <c r="FQN67" s="5"/>
      <c r="FQO67" s="5"/>
      <c r="FQP67" s="5"/>
      <c r="FQQ67" s="5"/>
      <c r="FQR67" s="5"/>
      <c r="FQS67" s="5"/>
      <c r="FQT67" s="5"/>
      <c r="FQU67" s="5"/>
      <c r="FQV67" s="5"/>
      <c r="FQW67" s="5"/>
      <c r="FQX67" s="5"/>
      <c r="FQY67" s="5"/>
      <c r="FQZ67" s="5"/>
      <c r="FRA67" s="5"/>
      <c r="FRB67" s="5"/>
      <c r="FRC67" s="5"/>
      <c r="FRD67" s="5"/>
      <c r="FRE67" s="5"/>
      <c r="FRF67" s="5"/>
      <c r="FRG67" s="5"/>
      <c r="FRH67" s="5"/>
      <c r="FRI67" s="5"/>
      <c r="FRJ67" s="5"/>
      <c r="FRK67" s="5"/>
      <c r="FRL67" s="5"/>
      <c r="FRM67" s="5"/>
      <c r="FRN67" s="5"/>
      <c r="FRO67" s="5"/>
      <c r="FRP67" s="5"/>
      <c r="FRQ67" s="5"/>
      <c r="FRR67" s="5"/>
      <c r="FRS67" s="5"/>
      <c r="FRT67" s="5"/>
      <c r="FRU67" s="5"/>
      <c r="FRV67" s="5"/>
      <c r="FRW67" s="5"/>
      <c r="FRX67" s="5"/>
      <c r="FRY67" s="5"/>
      <c r="FRZ67" s="5"/>
      <c r="FSA67" s="5"/>
      <c r="FSB67" s="5"/>
      <c r="FSC67" s="5"/>
      <c r="FSD67" s="5"/>
      <c r="FSE67" s="5"/>
      <c r="FSF67" s="5"/>
      <c r="FSG67" s="5"/>
      <c r="FSH67" s="5"/>
      <c r="FSI67" s="5"/>
      <c r="FSJ67" s="5"/>
      <c r="FSK67" s="5"/>
      <c r="FSL67" s="5"/>
      <c r="FSM67" s="5"/>
      <c r="FSN67" s="5"/>
      <c r="FSO67" s="5"/>
      <c r="FSP67" s="5"/>
      <c r="FSQ67" s="5"/>
      <c r="FSR67" s="5"/>
      <c r="FSS67" s="5"/>
      <c r="FST67" s="5"/>
      <c r="FSU67" s="5"/>
      <c r="FSV67" s="5"/>
      <c r="FSW67" s="5"/>
      <c r="FSX67" s="5"/>
      <c r="FSY67" s="5"/>
      <c r="FSZ67" s="5"/>
      <c r="FTA67" s="5"/>
      <c r="FTB67" s="5"/>
      <c r="FTC67" s="5"/>
      <c r="FTD67" s="5"/>
      <c r="FTE67" s="5"/>
      <c r="FTF67" s="5"/>
      <c r="FTG67" s="5"/>
      <c r="FTH67" s="5"/>
      <c r="FTI67" s="5"/>
      <c r="FTJ67" s="5"/>
      <c r="FTK67" s="5"/>
      <c r="FTL67" s="5"/>
      <c r="FTM67" s="5"/>
      <c r="FTN67" s="5"/>
      <c r="FTO67" s="5"/>
      <c r="FTP67" s="5"/>
      <c r="FTQ67" s="5"/>
      <c r="FTR67" s="5"/>
      <c r="FTS67" s="5"/>
      <c r="FTT67" s="5"/>
      <c r="FTU67" s="5"/>
      <c r="FTV67" s="5"/>
      <c r="FTW67" s="5"/>
      <c r="FTX67" s="5"/>
      <c r="FTY67" s="5"/>
      <c r="FTZ67" s="5"/>
      <c r="FUA67" s="5"/>
      <c r="FUB67" s="5"/>
      <c r="FUC67" s="5"/>
      <c r="FUD67" s="5"/>
      <c r="FUE67" s="5"/>
      <c r="FUF67" s="5"/>
      <c r="FUG67" s="5"/>
      <c r="FUH67" s="5"/>
      <c r="FUI67" s="5"/>
      <c r="FUJ67" s="5"/>
      <c r="FUK67" s="5"/>
      <c r="FUL67" s="5"/>
      <c r="FUM67" s="5"/>
      <c r="FUN67" s="5"/>
      <c r="FUO67" s="5"/>
      <c r="FUP67" s="5"/>
      <c r="FUQ67" s="5"/>
      <c r="FUR67" s="5"/>
      <c r="FUS67" s="5"/>
      <c r="FUT67" s="5"/>
      <c r="FUU67" s="5"/>
      <c r="FUV67" s="5"/>
      <c r="FUW67" s="5"/>
      <c r="FUX67" s="5"/>
      <c r="FUY67" s="5"/>
      <c r="FUZ67" s="5"/>
      <c r="FVA67" s="5"/>
      <c r="FVB67" s="5"/>
      <c r="FVC67" s="5"/>
      <c r="FVD67" s="5"/>
      <c r="FVE67" s="5"/>
      <c r="FVF67" s="5"/>
      <c r="FVG67" s="5"/>
      <c r="FVH67" s="5"/>
      <c r="FVI67" s="5"/>
      <c r="FVJ67" s="5"/>
      <c r="FVK67" s="5"/>
      <c r="FVL67" s="5"/>
      <c r="FVM67" s="5"/>
      <c r="FVN67" s="5"/>
      <c r="FVO67" s="5"/>
      <c r="FVP67" s="5"/>
      <c r="FVQ67" s="5"/>
      <c r="FVR67" s="5"/>
      <c r="FVS67" s="5"/>
      <c r="FVT67" s="5"/>
      <c r="FVU67" s="5"/>
      <c r="FVV67" s="5"/>
      <c r="FVW67" s="5"/>
      <c r="FVX67" s="5"/>
      <c r="FVY67" s="5"/>
      <c r="FVZ67" s="5"/>
      <c r="FWA67" s="5"/>
      <c r="FWB67" s="5"/>
      <c r="FWC67" s="5"/>
      <c r="FWD67" s="5"/>
      <c r="FWE67" s="5"/>
      <c r="FWF67" s="5"/>
      <c r="FWG67" s="5"/>
      <c r="FWH67" s="5"/>
      <c r="FWI67" s="5"/>
      <c r="FWJ67" s="5"/>
      <c r="FWK67" s="5"/>
      <c r="FWL67" s="5"/>
      <c r="FWM67" s="5"/>
      <c r="FWN67" s="5"/>
      <c r="FWO67" s="5"/>
      <c r="FWP67" s="5"/>
      <c r="FWQ67" s="5"/>
      <c r="FWR67" s="5"/>
      <c r="FWS67" s="5"/>
      <c r="FWT67" s="5"/>
      <c r="FWU67" s="5"/>
      <c r="FWV67" s="5"/>
      <c r="FWW67" s="5"/>
      <c r="FWX67" s="5"/>
      <c r="FWY67" s="5"/>
      <c r="FWZ67" s="5"/>
      <c r="FXA67" s="5"/>
      <c r="FXB67" s="5"/>
      <c r="FXC67" s="5"/>
      <c r="FXD67" s="5"/>
      <c r="FXE67" s="5"/>
      <c r="FXF67" s="5"/>
      <c r="FXG67" s="5"/>
      <c r="FXH67" s="5"/>
      <c r="FXI67" s="5"/>
      <c r="FXJ67" s="5"/>
      <c r="FXK67" s="5"/>
      <c r="FXL67" s="5"/>
      <c r="FXM67" s="5"/>
      <c r="FXN67" s="5"/>
      <c r="FXO67" s="5"/>
      <c r="FXP67" s="5"/>
      <c r="FXQ67" s="5"/>
      <c r="FXR67" s="5"/>
      <c r="FXS67" s="5"/>
      <c r="FXT67" s="5"/>
      <c r="FXU67" s="5"/>
      <c r="FXV67" s="5"/>
      <c r="FXW67" s="5"/>
      <c r="FXX67" s="5"/>
      <c r="FXY67" s="5"/>
      <c r="FXZ67" s="5"/>
      <c r="FYA67" s="5"/>
      <c r="FYB67" s="5"/>
      <c r="FYC67" s="5"/>
      <c r="FYD67" s="5"/>
      <c r="FYE67" s="5"/>
      <c r="FYF67" s="5"/>
      <c r="FYG67" s="5"/>
      <c r="FYH67" s="5"/>
      <c r="FYI67" s="5"/>
      <c r="FYJ67" s="5"/>
      <c r="FYK67" s="5"/>
      <c r="FYL67" s="5"/>
      <c r="FYM67" s="5"/>
      <c r="FYN67" s="5"/>
      <c r="FYO67" s="5"/>
      <c r="FYP67" s="5"/>
      <c r="FYQ67" s="5"/>
      <c r="FYR67" s="5"/>
      <c r="FYS67" s="5"/>
      <c r="FYT67" s="5"/>
      <c r="FYU67" s="5"/>
      <c r="FYV67" s="5"/>
      <c r="FYW67" s="5"/>
      <c r="FYX67" s="5"/>
      <c r="FYY67" s="5"/>
      <c r="FYZ67" s="5"/>
      <c r="FZA67" s="5"/>
      <c r="FZB67" s="5"/>
      <c r="FZC67" s="5"/>
      <c r="FZD67" s="5"/>
      <c r="FZE67" s="5"/>
      <c r="FZF67" s="5"/>
      <c r="FZG67" s="5"/>
      <c r="FZH67" s="5"/>
      <c r="FZI67" s="5"/>
      <c r="FZJ67" s="5"/>
      <c r="FZK67" s="5"/>
      <c r="FZL67" s="5"/>
      <c r="FZM67" s="5"/>
      <c r="FZN67" s="5"/>
      <c r="FZO67" s="5"/>
      <c r="FZP67" s="5"/>
      <c r="FZQ67" s="5"/>
      <c r="FZR67" s="5"/>
      <c r="FZS67" s="5"/>
      <c r="FZT67" s="5"/>
      <c r="FZU67" s="5"/>
      <c r="FZV67" s="5"/>
      <c r="FZW67" s="5"/>
      <c r="FZX67" s="5"/>
      <c r="FZY67" s="5"/>
      <c r="FZZ67" s="5"/>
      <c r="GAA67" s="5"/>
      <c r="GAB67" s="5"/>
      <c r="GAC67" s="5"/>
      <c r="GAD67" s="5"/>
      <c r="GAE67" s="5"/>
      <c r="GAF67" s="5"/>
      <c r="GAG67" s="5"/>
      <c r="GAH67" s="5"/>
      <c r="GAI67" s="5"/>
      <c r="GAJ67" s="5"/>
      <c r="GAK67" s="5"/>
      <c r="GAL67" s="5"/>
      <c r="GAM67" s="5"/>
      <c r="GAN67" s="5"/>
      <c r="GAO67" s="5"/>
      <c r="GAP67" s="5"/>
      <c r="GAQ67" s="5"/>
      <c r="GAR67" s="5"/>
      <c r="GAS67" s="5"/>
      <c r="GAT67" s="5"/>
      <c r="GAU67" s="5"/>
      <c r="GAV67" s="5"/>
      <c r="GAW67" s="5"/>
      <c r="GAX67" s="5"/>
      <c r="GAY67" s="5"/>
      <c r="GAZ67" s="5"/>
      <c r="GBA67" s="5"/>
      <c r="GBB67" s="5"/>
      <c r="GBC67" s="5"/>
      <c r="GBD67" s="5"/>
      <c r="GBE67" s="5"/>
      <c r="GBF67" s="5"/>
      <c r="GBG67" s="5"/>
      <c r="GBH67" s="5"/>
      <c r="GBI67" s="5"/>
      <c r="GBJ67" s="5"/>
      <c r="GBK67" s="5"/>
      <c r="GBL67" s="5"/>
      <c r="GBM67" s="5"/>
      <c r="GBN67" s="5"/>
      <c r="GBO67" s="5"/>
      <c r="GBP67" s="5"/>
      <c r="GBQ67" s="5"/>
      <c r="GBR67" s="5"/>
      <c r="GBS67" s="5"/>
      <c r="GBT67" s="5"/>
      <c r="GBU67" s="5"/>
      <c r="GBV67" s="5"/>
      <c r="GBW67" s="5"/>
      <c r="GBX67" s="5"/>
      <c r="GBY67" s="5"/>
      <c r="GBZ67" s="5"/>
      <c r="GCA67" s="5"/>
      <c r="GCB67" s="5"/>
      <c r="GCC67" s="5"/>
      <c r="GCD67" s="5"/>
      <c r="GCE67" s="5"/>
      <c r="GCF67" s="5"/>
      <c r="GCG67" s="5"/>
      <c r="GCH67" s="5"/>
      <c r="GCI67" s="5"/>
      <c r="GCJ67" s="5"/>
      <c r="GCK67" s="5"/>
      <c r="GCL67" s="5"/>
      <c r="GCM67" s="5"/>
      <c r="GCN67" s="5"/>
      <c r="GCO67" s="5"/>
      <c r="GCP67" s="5"/>
      <c r="GCQ67" s="5"/>
      <c r="GCR67" s="5"/>
      <c r="GCS67" s="5"/>
      <c r="GCT67" s="5"/>
      <c r="GCU67" s="5"/>
      <c r="GCV67" s="5"/>
      <c r="GCW67" s="5"/>
      <c r="GCX67" s="5"/>
      <c r="GCY67" s="5"/>
      <c r="GCZ67" s="5"/>
      <c r="GDA67" s="5"/>
      <c r="GDB67" s="5"/>
      <c r="GDC67" s="5"/>
      <c r="GDD67" s="5"/>
      <c r="GDE67" s="5"/>
      <c r="GDF67" s="5"/>
      <c r="GDG67" s="5"/>
      <c r="GDH67" s="5"/>
      <c r="GDI67" s="5"/>
      <c r="GDJ67" s="5"/>
      <c r="GDK67" s="5"/>
      <c r="GDL67" s="5"/>
      <c r="GDM67" s="5"/>
      <c r="GDN67" s="5"/>
      <c r="GDO67" s="5"/>
      <c r="GDP67" s="5"/>
      <c r="GDQ67" s="5"/>
      <c r="GDR67" s="5"/>
      <c r="GDS67" s="5"/>
      <c r="GDT67" s="5"/>
      <c r="GDU67" s="5"/>
      <c r="GDV67" s="5"/>
      <c r="GDW67" s="5"/>
      <c r="GDX67" s="5"/>
      <c r="GDY67" s="5"/>
      <c r="GDZ67" s="5"/>
      <c r="GEA67" s="5"/>
      <c r="GEB67" s="5"/>
      <c r="GEC67" s="5"/>
      <c r="GED67" s="5"/>
      <c r="GEE67" s="5"/>
      <c r="GEF67" s="5"/>
      <c r="GEG67" s="5"/>
      <c r="GEH67" s="5"/>
      <c r="GEI67" s="5"/>
      <c r="GEJ67" s="5"/>
      <c r="GEK67" s="5"/>
      <c r="GEL67" s="5"/>
      <c r="GEM67" s="5"/>
      <c r="GEN67" s="5"/>
      <c r="GEO67" s="5"/>
      <c r="GEP67" s="5"/>
      <c r="GEQ67" s="5"/>
      <c r="GER67" s="5"/>
      <c r="GES67" s="5"/>
      <c r="GET67" s="5"/>
      <c r="GEU67" s="5"/>
      <c r="GEV67" s="5"/>
      <c r="GEW67" s="5"/>
      <c r="GEX67" s="5"/>
      <c r="GEY67" s="5"/>
      <c r="GEZ67" s="5"/>
      <c r="GFA67" s="5"/>
      <c r="GFB67" s="5"/>
      <c r="GFC67" s="5"/>
      <c r="GFD67" s="5"/>
      <c r="GFE67" s="5"/>
      <c r="GFF67" s="5"/>
      <c r="GFG67" s="5"/>
      <c r="GFH67" s="5"/>
      <c r="GFI67" s="5"/>
      <c r="GFJ67" s="5"/>
      <c r="GFK67" s="5"/>
      <c r="GFL67" s="5"/>
      <c r="GFM67" s="5"/>
      <c r="GFN67" s="5"/>
      <c r="GFO67" s="5"/>
      <c r="GFP67" s="5"/>
      <c r="GFQ67" s="5"/>
      <c r="GFR67" s="5"/>
      <c r="GFS67" s="5"/>
      <c r="GFT67" s="5"/>
      <c r="GFU67" s="5"/>
      <c r="GFV67" s="5"/>
      <c r="GFW67" s="5"/>
      <c r="GFX67" s="5"/>
      <c r="GFY67" s="5"/>
      <c r="GFZ67" s="5"/>
      <c r="GGA67" s="5"/>
      <c r="GGB67" s="5"/>
      <c r="GGC67" s="5"/>
      <c r="GGD67" s="5"/>
      <c r="GGE67" s="5"/>
      <c r="GGF67" s="5"/>
      <c r="GGG67" s="5"/>
      <c r="GGH67" s="5"/>
      <c r="GGI67" s="5"/>
      <c r="GGJ67" s="5"/>
      <c r="GGK67" s="5"/>
      <c r="GGL67" s="5"/>
      <c r="GGM67" s="5"/>
      <c r="GGN67" s="5"/>
      <c r="GGO67" s="5"/>
      <c r="GGP67" s="5"/>
      <c r="GGQ67" s="5"/>
      <c r="GGR67" s="5"/>
      <c r="GGS67" s="5"/>
      <c r="GGT67" s="5"/>
      <c r="GGU67" s="5"/>
      <c r="GGV67" s="5"/>
      <c r="GGW67" s="5"/>
      <c r="GGX67" s="5"/>
      <c r="GGY67" s="5"/>
      <c r="GGZ67" s="5"/>
      <c r="GHA67" s="5"/>
      <c r="GHB67" s="5"/>
      <c r="GHC67" s="5"/>
      <c r="GHD67" s="5"/>
      <c r="GHE67" s="5"/>
      <c r="GHF67" s="5"/>
      <c r="GHG67" s="5"/>
      <c r="GHH67" s="5"/>
      <c r="GHI67" s="5"/>
      <c r="GHJ67" s="5"/>
      <c r="GHK67" s="5"/>
      <c r="GHL67" s="5"/>
      <c r="GHM67" s="5"/>
      <c r="GHN67" s="5"/>
      <c r="GHO67" s="5"/>
      <c r="GHP67" s="5"/>
      <c r="GHQ67" s="5"/>
      <c r="GHR67" s="5"/>
      <c r="GHS67" s="5"/>
      <c r="GHT67" s="5"/>
      <c r="GHU67" s="5"/>
      <c r="GHV67" s="5"/>
      <c r="GHW67" s="5"/>
      <c r="GHX67" s="5"/>
      <c r="GHY67" s="5"/>
      <c r="GHZ67" s="5"/>
      <c r="GIA67" s="5"/>
      <c r="GIB67" s="5"/>
      <c r="GIC67" s="5"/>
      <c r="GID67" s="5"/>
      <c r="GIE67" s="5"/>
      <c r="GIF67" s="5"/>
      <c r="GIG67" s="5"/>
      <c r="GIH67" s="5"/>
      <c r="GII67" s="5"/>
      <c r="GIJ67" s="5"/>
      <c r="GIK67" s="5"/>
      <c r="GIL67" s="5"/>
      <c r="GIM67" s="5"/>
      <c r="GIN67" s="5"/>
      <c r="GIO67" s="5"/>
      <c r="GIP67" s="5"/>
      <c r="GIQ67" s="5"/>
      <c r="GIR67" s="5"/>
      <c r="GIS67" s="5"/>
      <c r="GIT67" s="5"/>
      <c r="GIU67" s="5"/>
      <c r="GIV67" s="5"/>
      <c r="GIW67" s="5"/>
      <c r="GIX67" s="5"/>
      <c r="GIY67" s="5"/>
      <c r="GIZ67" s="5"/>
      <c r="GJA67" s="5"/>
      <c r="GJB67" s="5"/>
      <c r="GJC67" s="5"/>
      <c r="GJD67" s="5"/>
      <c r="GJE67" s="5"/>
      <c r="GJF67" s="5"/>
      <c r="GJG67" s="5"/>
      <c r="GJH67" s="5"/>
      <c r="GJI67" s="5"/>
      <c r="GJJ67" s="5"/>
      <c r="GJK67" s="5"/>
      <c r="GJL67" s="5"/>
      <c r="GJM67" s="5"/>
      <c r="GJN67" s="5"/>
      <c r="GJO67" s="5"/>
      <c r="GJP67" s="5"/>
      <c r="GJQ67" s="5"/>
      <c r="GJR67" s="5"/>
      <c r="GJS67" s="5"/>
      <c r="GJT67" s="5"/>
      <c r="GJU67" s="5"/>
      <c r="GJV67" s="5"/>
      <c r="GJW67" s="5"/>
      <c r="GJX67" s="5"/>
      <c r="GJY67" s="5"/>
      <c r="GJZ67" s="5"/>
      <c r="GKA67" s="5"/>
      <c r="GKB67" s="5"/>
      <c r="GKC67" s="5"/>
      <c r="GKD67" s="5"/>
      <c r="GKE67" s="5"/>
      <c r="GKF67" s="5"/>
      <c r="GKG67" s="5"/>
      <c r="GKH67" s="5"/>
      <c r="GKI67" s="5"/>
      <c r="GKJ67" s="5"/>
      <c r="GKK67" s="5"/>
      <c r="GKL67" s="5"/>
      <c r="GKM67" s="5"/>
      <c r="GKN67" s="5"/>
      <c r="GKO67" s="5"/>
      <c r="GKP67" s="5"/>
      <c r="GKQ67" s="5"/>
      <c r="GKR67" s="5"/>
      <c r="GKS67" s="5"/>
      <c r="GKT67" s="5"/>
      <c r="GKU67" s="5"/>
      <c r="GKV67" s="5"/>
      <c r="GKW67" s="5"/>
      <c r="GKX67" s="5"/>
      <c r="GKY67" s="5"/>
      <c r="GKZ67" s="5"/>
      <c r="GLA67" s="5"/>
      <c r="GLB67" s="5"/>
      <c r="GLC67" s="5"/>
      <c r="GLD67" s="5"/>
      <c r="GLE67" s="5"/>
      <c r="GLF67" s="5"/>
      <c r="GLG67" s="5"/>
      <c r="GLH67" s="5"/>
      <c r="GLI67" s="5"/>
      <c r="GLJ67" s="5"/>
      <c r="GLK67" s="5"/>
      <c r="GLL67" s="5"/>
      <c r="GLM67" s="5"/>
      <c r="GLN67" s="5"/>
      <c r="GLO67" s="5"/>
      <c r="GLP67" s="5"/>
      <c r="GLQ67" s="5"/>
      <c r="GLR67" s="5"/>
      <c r="GLS67" s="5"/>
      <c r="GLT67" s="5"/>
      <c r="GLU67" s="5"/>
      <c r="GLV67" s="5"/>
      <c r="GLW67" s="5"/>
      <c r="GLX67" s="5"/>
      <c r="GLY67" s="5"/>
      <c r="GLZ67" s="5"/>
      <c r="GMA67" s="5"/>
      <c r="GMB67" s="5"/>
      <c r="GMC67" s="5"/>
      <c r="GMD67" s="5"/>
      <c r="GME67" s="5"/>
      <c r="GMF67" s="5"/>
      <c r="GMG67" s="5"/>
      <c r="GMH67" s="5"/>
      <c r="GMI67" s="5"/>
      <c r="GMJ67" s="5"/>
      <c r="GMK67" s="5"/>
      <c r="GML67" s="5"/>
      <c r="GMM67" s="5"/>
      <c r="GMN67" s="5"/>
      <c r="GMO67" s="5"/>
      <c r="GMP67" s="5"/>
      <c r="GMQ67" s="5"/>
      <c r="GMR67" s="5"/>
      <c r="GMS67" s="5"/>
      <c r="GMT67" s="5"/>
      <c r="GMU67" s="5"/>
      <c r="GMV67" s="5"/>
      <c r="GMW67" s="5"/>
      <c r="GMX67" s="5"/>
      <c r="GMY67" s="5"/>
      <c r="GMZ67" s="5"/>
      <c r="GNA67" s="5"/>
      <c r="GNB67" s="5"/>
      <c r="GNC67" s="5"/>
      <c r="GND67" s="5"/>
      <c r="GNE67" s="5"/>
      <c r="GNF67" s="5"/>
      <c r="GNG67" s="5"/>
      <c r="GNH67" s="5"/>
      <c r="GNI67" s="5"/>
      <c r="GNJ67" s="5"/>
      <c r="GNK67" s="5"/>
      <c r="GNL67" s="5"/>
      <c r="GNM67" s="5"/>
      <c r="GNN67" s="5"/>
      <c r="GNO67" s="5"/>
      <c r="GNP67" s="5"/>
      <c r="GNQ67" s="5"/>
      <c r="GNR67" s="5"/>
      <c r="GNS67" s="5"/>
      <c r="GNT67" s="5"/>
      <c r="GNU67" s="5"/>
      <c r="GNV67" s="5"/>
      <c r="GNW67" s="5"/>
      <c r="GNX67" s="5"/>
      <c r="GNY67" s="5"/>
      <c r="GNZ67" s="5"/>
      <c r="GOA67" s="5"/>
      <c r="GOB67" s="5"/>
      <c r="GOC67" s="5"/>
      <c r="GOD67" s="5"/>
      <c r="GOE67" s="5"/>
      <c r="GOF67" s="5"/>
      <c r="GOG67" s="5"/>
      <c r="GOH67" s="5"/>
      <c r="GOI67" s="5"/>
      <c r="GOJ67" s="5"/>
      <c r="GOK67" s="5"/>
      <c r="GOL67" s="5"/>
      <c r="GOM67" s="5"/>
      <c r="GON67" s="5"/>
      <c r="GOO67" s="5"/>
      <c r="GOP67" s="5"/>
      <c r="GOQ67" s="5"/>
      <c r="GOR67" s="5"/>
      <c r="GOS67" s="5"/>
      <c r="GOT67" s="5"/>
      <c r="GOU67" s="5"/>
      <c r="GOV67" s="5"/>
      <c r="GOW67" s="5"/>
      <c r="GOX67" s="5"/>
      <c r="GOY67" s="5"/>
      <c r="GOZ67" s="5"/>
      <c r="GPA67" s="5"/>
      <c r="GPB67" s="5"/>
      <c r="GPC67" s="5"/>
      <c r="GPD67" s="5"/>
      <c r="GPE67" s="5"/>
      <c r="GPF67" s="5"/>
      <c r="GPG67" s="5"/>
      <c r="GPH67" s="5"/>
      <c r="GPI67" s="5"/>
      <c r="GPJ67" s="5"/>
      <c r="GPK67" s="5"/>
      <c r="GPL67" s="5"/>
      <c r="GPM67" s="5"/>
      <c r="GPN67" s="5"/>
      <c r="GPO67" s="5"/>
      <c r="GPP67" s="5"/>
      <c r="GPQ67" s="5"/>
      <c r="GPR67" s="5"/>
      <c r="GPS67" s="5"/>
      <c r="GPT67" s="5"/>
      <c r="GPU67" s="5"/>
      <c r="GPV67" s="5"/>
      <c r="GPW67" s="5"/>
      <c r="GPX67" s="5"/>
      <c r="GPY67" s="5"/>
      <c r="GPZ67" s="5"/>
      <c r="GQA67" s="5"/>
      <c r="GQB67" s="5"/>
      <c r="GQC67" s="5"/>
      <c r="GQD67" s="5"/>
      <c r="GQE67" s="5"/>
      <c r="GQF67" s="5"/>
      <c r="GQG67" s="5"/>
      <c r="GQH67" s="5"/>
      <c r="GQI67" s="5"/>
      <c r="GQJ67" s="5"/>
      <c r="GQK67" s="5"/>
      <c r="GQL67" s="5"/>
      <c r="GQM67" s="5"/>
      <c r="GQN67" s="5"/>
      <c r="GQO67" s="5"/>
      <c r="GQP67" s="5"/>
      <c r="GQQ67" s="5"/>
      <c r="GQR67" s="5"/>
      <c r="GQS67" s="5"/>
      <c r="GQT67" s="5"/>
      <c r="GQU67" s="5"/>
      <c r="GQV67" s="5"/>
      <c r="GQW67" s="5"/>
      <c r="GQX67" s="5"/>
      <c r="GQY67" s="5"/>
      <c r="GQZ67" s="5"/>
      <c r="GRA67" s="5"/>
      <c r="GRB67" s="5"/>
      <c r="GRC67" s="5"/>
      <c r="GRD67" s="5"/>
      <c r="GRE67" s="5"/>
      <c r="GRF67" s="5"/>
      <c r="GRG67" s="5"/>
      <c r="GRH67" s="5"/>
      <c r="GRI67" s="5"/>
      <c r="GRJ67" s="5"/>
      <c r="GRK67" s="5"/>
      <c r="GRL67" s="5"/>
      <c r="GRM67" s="5"/>
      <c r="GRN67" s="5"/>
      <c r="GRO67" s="5"/>
      <c r="GRP67" s="5"/>
      <c r="GRQ67" s="5"/>
      <c r="GRR67" s="5"/>
      <c r="GRS67" s="5"/>
      <c r="GRT67" s="5"/>
      <c r="GRU67" s="5"/>
      <c r="GRV67" s="5"/>
      <c r="GRW67" s="5"/>
      <c r="GRX67" s="5"/>
      <c r="GRY67" s="5"/>
      <c r="GRZ67" s="5"/>
      <c r="GSA67" s="5"/>
      <c r="GSB67" s="5"/>
      <c r="GSC67" s="5"/>
      <c r="GSD67" s="5"/>
      <c r="GSE67" s="5"/>
      <c r="GSF67" s="5"/>
      <c r="GSG67" s="5"/>
      <c r="GSH67" s="5"/>
      <c r="GSI67" s="5"/>
      <c r="GSJ67" s="5"/>
      <c r="GSK67" s="5"/>
      <c r="GSL67" s="5"/>
      <c r="GSM67" s="5"/>
      <c r="GSN67" s="5"/>
      <c r="GSO67" s="5"/>
      <c r="GSP67" s="5"/>
      <c r="GSQ67" s="5"/>
      <c r="GSR67" s="5"/>
      <c r="GSS67" s="5"/>
      <c r="GST67" s="5"/>
      <c r="GSU67" s="5"/>
      <c r="GSV67" s="5"/>
      <c r="GSW67" s="5"/>
      <c r="GSX67" s="5"/>
      <c r="GSY67" s="5"/>
      <c r="GSZ67" s="5"/>
      <c r="GTA67" s="5"/>
      <c r="GTB67" s="5"/>
      <c r="GTC67" s="5"/>
      <c r="GTD67" s="5"/>
      <c r="GTE67" s="5"/>
      <c r="GTF67" s="5"/>
      <c r="GTG67" s="5"/>
      <c r="GTH67" s="5"/>
      <c r="GTI67" s="5"/>
      <c r="GTJ67" s="5"/>
      <c r="GTK67" s="5"/>
      <c r="GTL67" s="5"/>
      <c r="GTM67" s="5"/>
      <c r="GTN67" s="5"/>
      <c r="GTO67" s="5"/>
      <c r="GTP67" s="5"/>
      <c r="GTQ67" s="5"/>
      <c r="GTR67" s="5"/>
      <c r="GTS67" s="5"/>
      <c r="GTT67" s="5"/>
      <c r="GTU67" s="5"/>
      <c r="GTV67" s="5"/>
      <c r="GTW67" s="5"/>
      <c r="GTX67" s="5"/>
      <c r="GTY67" s="5"/>
      <c r="GTZ67" s="5"/>
      <c r="GUA67" s="5"/>
      <c r="GUB67" s="5"/>
      <c r="GUC67" s="5"/>
      <c r="GUD67" s="5"/>
      <c r="GUE67" s="5"/>
      <c r="GUF67" s="5"/>
      <c r="GUG67" s="5"/>
      <c r="GUH67" s="5"/>
      <c r="GUI67" s="5"/>
      <c r="GUJ67" s="5"/>
      <c r="GUK67" s="5"/>
      <c r="GUL67" s="5"/>
      <c r="GUM67" s="5"/>
      <c r="GUN67" s="5"/>
      <c r="GUO67" s="5"/>
      <c r="GUP67" s="5"/>
      <c r="GUQ67" s="5"/>
      <c r="GUR67" s="5"/>
      <c r="GUS67" s="5"/>
      <c r="GUT67" s="5"/>
      <c r="GUU67" s="5"/>
      <c r="GUV67" s="5"/>
      <c r="GUW67" s="5"/>
      <c r="GUX67" s="5"/>
      <c r="GUY67" s="5"/>
      <c r="GUZ67" s="5"/>
      <c r="GVA67" s="5"/>
      <c r="GVB67" s="5"/>
      <c r="GVC67" s="5"/>
      <c r="GVD67" s="5"/>
      <c r="GVE67" s="5"/>
      <c r="GVF67" s="5"/>
      <c r="GVG67" s="5"/>
      <c r="GVH67" s="5"/>
      <c r="GVI67" s="5"/>
      <c r="GVJ67" s="5"/>
      <c r="GVK67" s="5"/>
      <c r="GVL67" s="5"/>
      <c r="GVM67" s="5"/>
      <c r="GVN67" s="5"/>
      <c r="GVO67" s="5"/>
      <c r="GVP67" s="5"/>
      <c r="GVQ67" s="5"/>
      <c r="GVR67" s="5"/>
      <c r="GVS67" s="5"/>
      <c r="GVT67" s="5"/>
      <c r="GVU67" s="5"/>
      <c r="GVV67" s="5"/>
      <c r="GVW67" s="5"/>
      <c r="GVX67" s="5"/>
      <c r="GVY67" s="5"/>
      <c r="GVZ67" s="5"/>
      <c r="GWA67" s="5"/>
      <c r="GWB67" s="5"/>
      <c r="GWC67" s="5"/>
      <c r="GWD67" s="5"/>
      <c r="GWE67" s="5"/>
      <c r="GWF67" s="5"/>
      <c r="GWG67" s="5"/>
      <c r="GWH67" s="5"/>
      <c r="GWI67" s="5"/>
      <c r="GWJ67" s="5"/>
      <c r="GWK67" s="5"/>
      <c r="GWL67" s="5"/>
      <c r="GWM67" s="5"/>
      <c r="GWN67" s="5"/>
      <c r="GWO67" s="5"/>
      <c r="GWP67" s="5"/>
      <c r="GWQ67" s="5"/>
      <c r="GWR67" s="5"/>
      <c r="GWS67" s="5"/>
      <c r="GWT67" s="5"/>
      <c r="GWU67" s="5"/>
      <c r="GWV67" s="5"/>
      <c r="GWW67" s="5"/>
      <c r="GWX67" s="5"/>
      <c r="GWY67" s="5"/>
      <c r="GWZ67" s="5"/>
      <c r="GXA67" s="5"/>
      <c r="GXB67" s="5"/>
      <c r="GXC67" s="5"/>
      <c r="GXD67" s="5"/>
      <c r="GXE67" s="5"/>
      <c r="GXF67" s="5"/>
      <c r="GXG67" s="5"/>
      <c r="GXH67" s="5"/>
      <c r="GXI67" s="5"/>
      <c r="GXJ67" s="5"/>
      <c r="GXK67" s="5"/>
      <c r="GXL67" s="5"/>
      <c r="GXM67" s="5"/>
      <c r="GXN67" s="5"/>
      <c r="GXO67" s="5"/>
      <c r="GXP67" s="5"/>
      <c r="GXQ67" s="5"/>
      <c r="GXR67" s="5"/>
      <c r="GXS67" s="5"/>
      <c r="GXT67" s="5"/>
      <c r="GXU67" s="5"/>
      <c r="GXV67" s="5"/>
      <c r="GXW67" s="5"/>
      <c r="GXX67" s="5"/>
      <c r="GXY67" s="5"/>
      <c r="GXZ67" s="5"/>
      <c r="GYA67" s="5"/>
      <c r="GYB67" s="5"/>
      <c r="GYC67" s="5"/>
      <c r="GYD67" s="5"/>
      <c r="GYE67" s="5"/>
      <c r="GYF67" s="5"/>
      <c r="GYG67" s="5"/>
      <c r="GYH67" s="5"/>
      <c r="GYI67" s="5"/>
      <c r="GYJ67" s="5"/>
      <c r="GYK67" s="5"/>
      <c r="GYL67" s="5"/>
      <c r="GYM67" s="5"/>
      <c r="GYN67" s="5"/>
      <c r="GYO67" s="5"/>
      <c r="GYP67" s="5"/>
      <c r="GYQ67" s="5"/>
      <c r="GYR67" s="5"/>
      <c r="GYS67" s="5"/>
      <c r="GYT67" s="5"/>
      <c r="GYU67" s="5"/>
      <c r="GYV67" s="5"/>
      <c r="GYW67" s="5"/>
      <c r="GYX67" s="5"/>
      <c r="GYY67" s="5"/>
      <c r="GYZ67" s="5"/>
      <c r="GZA67" s="5"/>
      <c r="GZB67" s="5"/>
      <c r="GZC67" s="5"/>
      <c r="GZD67" s="5"/>
      <c r="GZE67" s="5"/>
      <c r="GZF67" s="5"/>
      <c r="GZG67" s="5"/>
      <c r="GZH67" s="5"/>
      <c r="GZI67" s="5"/>
      <c r="GZJ67" s="5"/>
      <c r="GZK67" s="5"/>
      <c r="GZL67" s="5"/>
      <c r="GZM67" s="5"/>
      <c r="GZN67" s="5"/>
      <c r="GZO67" s="5"/>
      <c r="GZP67" s="5"/>
      <c r="GZQ67" s="5"/>
      <c r="GZR67" s="5"/>
      <c r="GZS67" s="5"/>
      <c r="GZT67" s="5"/>
      <c r="GZU67" s="5"/>
      <c r="GZV67" s="5"/>
      <c r="GZW67" s="5"/>
      <c r="GZX67" s="5"/>
      <c r="GZY67" s="5"/>
      <c r="GZZ67" s="5"/>
      <c r="HAA67" s="5"/>
      <c r="HAB67" s="5"/>
      <c r="HAC67" s="5"/>
      <c r="HAD67" s="5"/>
      <c r="HAE67" s="5"/>
      <c r="HAF67" s="5"/>
      <c r="HAG67" s="5"/>
      <c r="HAH67" s="5"/>
      <c r="HAI67" s="5"/>
      <c r="HAJ67" s="5"/>
      <c r="HAK67" s="5"/>
      <c r="HAL67" s="5"/>
      <c r="HAM67" s="5"/>
      <c r="HAN67" s="5"/>
      <c r="HAO67" s="5"/>
      <c r="HAP67" s="5"/>
      <c r="HAQ67" s="5"/>
      <c r="HAR67" s="5"/>
      <c r="HAS67" s="5"/>
      <c r="HAT67" s="5"/>
      <c r="HAU67" s="5"/>
      <c r="HAV67" s="5"/>
      <c r="HAW67" s="5"/>
      <c r="HAX67" s="5"/>
      <c r="HAY67" s="5"/>
      <c r="HAZ67" s="5"/>
      <c r="HBA67" s="5"/>
      <c r="HBB67" s="5"/>
      <c r="HBC67" s="5"/>
      <c r="HBD67" s="5"/>
      <c r="HBE67" s="5"/>
      <c r="HBF67" s="5"/>
      <c r="HBG67" s="5"/>
      <c r="HBH67" s="5"/>
      <c r="HBI67" s="5"/>
      <c r="HBJ67" s="5"/>
      <c r="HBK67" s="5"/>
      <c r="HBL67" s="5"/>
      <c r="HBM67" s="5"/>
      <c r="HBN67" s="5"/>
      <c r="HBO67" s="5"/>
      <c r="HBP67" s="5"/>
      <c r="HBQ67" s="5"/>
      <c r="HBR67" s="5"/>
      <c r="HBS67" s="5"/>
      <c r="HBT67" s="5"/>
      <c r="HBU67" s="5"/>
      <c r="HBV67" s="5"/>
      <c r="HBW67" s="5"/>
      <c r="HBX67" s="5"/>
      <c r="HBY67" s="5"/>
      <c r="HBZ67" s="5"/>
      <c r="HCA67" s="5"/>
      <c r="HCB67" s="5"/>
      <c r="HCC67" s="5"/>
      <c r="HCD67" s="5"/>
      <c r="HCE67" s="5"/>
      <c r="HCF67" s="5"/>
      <c r="HCG67" s="5"/>
      <c r="HCH67" s="5"/>
      <c r="HCI67" s="5"/>
      <c r="HCJ67" s="5"/>
      <c r="HCK67" s="5"/>
      <c r="HCL67" s="5"/>
      <c r="HCM67" s="5"/>
      <c r="HCN67" s="5"/>
      <c r="HCO67" s="5"/>
      <c r="HCP67" s="5"/>
      <c r="HCQ67" s="5"/>
      <c r="HCR67" s="5"/>
      <c r="HCS67" s="5"/>
      <c r="HCT67" s="5"/>
      <c r="HCU67" s="5"/>
      <c r="HCV67" s="5"/>
      <c r="HCW67" s="5"/>
      <c r="HCX67" s="5"/>
      <c r="HCY67" s="5"/>
      <c r="HCZ67" s="5"/>
      <c r="HDA67" s="5"/>
      <c r="HDB67" s="5"/>
      <c r="HDC67" s="5"/>
      <c r="HDD67" s="5"/>
      <c r="HDE67" s="5"/>
      <c r="HDF67" s="5"/>
      <c r="HDG67" s="5"/>
      <c r="HDH67" s="5"/>
      <c r="HDI67" s="5"/>
      <c r="HDJ67" s="5"/>
      <c r="HDK67" s="5"/>
      <c r="HDL67" s="5"/>
      <c r="HDM67" s="5"/>
      <c r="HDN67" s="5"/>
      <c r="HDO67" s="5"/>
      <c r="HDP67" s="5"/>
      <c r="HDQ67" s="5"/>
      <c r="HDR67" s="5"/>
      <c r="HDS67" s="5"/>
      <c r="HDT67" s="5"/>
      <c r="HDU67" s="5"/>
      <c r="HDV67" s="5"/>
      <c r="HDW67" s="5"/>
      <c r="HDX67" s="5"/>
      <c r="HDY67" s="5"/>
      <c r="HDZ67" s="5"/>
      <c r="HEA67" s="5"/>
      <c r="HEB67" s="5"/>
      <c r="HEC67" s="5"/>
      <c r="HED67" s="5"/>
      <c r="HEE67" s="5"/>
      <c r="HEF67" s="5"/>
      <c r="HEG67" s="5"/>
      <c r="HEH67" s="5"/>
      <c r="HEI67" s="5"/>
      <c r="HEJ67" s="5"/>
      <c r="HEK67" s="5"/>
      <c r="HEL67" s="5"/>
      <c r="HEM67" s="5"/>
      <c r="HEN67" s="5"/>
      <c r="HEO67" s="5"/>
      <c r="HEP67" s="5"/>
      <c r="HEQ67" s="5"/>
      <c r="HER67" s="5"/>
      <c r="HES67" s="5"/>
      <c r="HET67" s="5"/>
      <c r="HEU67" s="5"/>
      <c r="HEV67" s="5"/>
      <c r="HEW67" s="5"/>
      <c r="HEX67" s="5"/>
      <c r="HEY67" s="5"/>
      <c r="HEZ67" s="5"/>
      <c r="HFA67" s="5"/>
      <c r="HFB67" s="5"/>
      <c r="HFC67" s="5"/>
      <c r="HFD67" s="5"/>
      <c r="HFE67" s="5"/>
      <c r="HFF67" s="5"/>
      <c r="HFG67" s="5"/>
      <c r="HFH67" s="5"/>
      <c r="HFI67" s="5"/>
      <c r="HFJ67" s="5"/>
      <c r="HFK67" s="5"/>
      <c r="HFL67" s="5"/>
      <c r="HFM67" s="5"/>
      <c r="HFN67" s="5"/>
      <c r="HFO67" s="5"/>
      <c r="HFP67" s="5"/>
      <c r="HFQ67" s="5"/>
      <c r="HFR67" s="5"/>
      <c r="HFS67" s="5"/>
      <c r="HFT67" s="5"/>
      <c r="HFU67" s="5"/>
      <c r="HFV67" s="5"/>
      <c r="HFW67" s="5"/>
      <c r="HFX67" s="5"/>
      <c r="HFY67" s="5"/>
      <c r="HFZ67" s="5"/>
      <c r="HGA67" s="5"/>
      <c r="HGB67" s="5"/>
      <c r="HGC67" s="5"/>
      <c r="HGD67" s="5"/>
      <c r="HGE67" s="5"/>
      <c r="HGF67" s="5"/>
      <c r="HGG67" s="5"/>
      <c r="HGH67" s="5"/>
      <c r="HGI67" s="5"/>
      <c r="HGJ67" s="5"/>
      <c r="HGK67" s="5"/>
      <c r="HGL67" s="5"/>
      <c r="HGM67" s="5"/>
      <c r="HGN67" s="5"/>
      <c r="HGO67" s="5"/>
      <c r="HGP67" s="5"/>
      <c r="HGQ67" s="5"/>
      <c r="HGR67" s="5"/>
      <c r="HGS67" s="5"/>
      <c r="HGT67" s="5"/>
      <c r="HGU67" s="5"/>
      <c r="HGV67" s="5"/>
      <c r="HGW67" s="5"/>
      <c r="HGX67" s="5"/>
      <c r="HGY67" s="5"/>
      <c r="HGZ67" s="5"/>
      <c r="HHA67" s="5"/>
      <c r="HHB67" s="5"/>
      <c r="HHC67" s="5"/>
      <c r="HHD67" s="5"/>
      <c r="HHE67" s="5"/>
      <c r="HHF67" s="5"/>
      <c r="HHG67" s="5"/>
      <c r="HHH67" s="5"/>
      <c r="HHI67" s="5"/>
      <c r="HHJ67" s="5"/>
      <c r="HHK67" s="5"/>
      <c r="HHL67" s="5"/>
      <c r="HHM67" s="5"/>
      <c r="HHN67" s="5"/>
      <c r="HHO67" s="5"/>
      <c r="HHP67" s="5"/>
      <c r="HHQ67" s="5"/>
      <c r="HHR67" s="5"/>
      <c r="HHS67" s="5"/>
      <c r="HHT67" s="5"/>
      <c r="HHU67" s="5"/>
      <c r="HHV67" s="5"/>
      <c r="HHW67" s="5"/>
      <c r="HHX67" s="5"/>
      <c r="HHY67" s="5"/>
      <c r="HHZ67" s="5"/>
      <c r="HIA67" s="5"/>
      <c r="HIB67" s="5"/>
      <c r="HIC67" s="5"/>
      <c r="HID67" s="5"/>
      <c r="HIE67" s="5"/>
      <c r="HIF67" s="5"/>
      <c r="HIG67" s="5"/>
      <c r="HIH67" s="5"/>
      <c r="HII67" s="5"/>
      <c r="HIJ67" s="5"/>
      <c r="HIK67" s="5"/>
      <c r="HIL67" s="5"/>
      <c r="HIM67" s="5"/>
      <c r="HIN67" s="5"/>
      <c r="HIO67" s="5"/>
      <c r="HIP67" s="5"/>
      <c r="HIQ67" s="5"/>
      <c r="HIR67" s="5"/>
      <c r="HIS67" s="5"/>
      <c r="HIT67" s="5"/>
      <c r="HIU67" s="5"/>
      <c r="HIV67" s="5"/>
      <c r="HIW67" s="5"/>
      <c r="HIX67" s="5"/>
      <c r="HIY67" s="5"/>
      <c r="HIZ67" s="5"/>
      <c r="HJA67" s="5"/>
      <c r="HJB67" s="5"/>
      <c r="HJC67" s="5"/>
      <c r="HJD67" s="5"/>
      <c r="HJE67" s="5"/>
      <c r="HJF67" s="5"/>
      <c r="HJG67" s="5"/>
      <c r="HJH67" s="5"/>
      <c r="HJI67" s="5"/>
      <c r="HJJ67" s="5"/>
      <c r="HJK67" s="5"/>
      <c r="HJL67" s="5"/>
      <c r="HJM67" s="5"/>
      <c r="HJN67" s="5"/>
      <c r="HJO67" s="5"/>
      <c r="HJP67" s="5"/>
      <c r="HJQ67" s="5"/>
      <c r="HJR67" s="5"/>
      <c r="HJS67" s="5"/>
      <c r="HJT67" s="5"/>
      <c r="HJU67" s="5"/>
      <c r="HJV67" s="5"/>
      <c r="HJW67" s="5"/>
      <c r="HJX67" s="5"/>
      <c r="HJY67" s="5"/>
      <c r="HJZ67" s="5"/>
      <c r="HKA67" s="5"/>
      <c r="HKB67" s="5"/>
      <c r="HKC67" s="5"/>
      <c r="HKD67" s="5"/>
      <c r="HKE67" s="5"/>
      <c r="HKF67" s="5"/>
      <c r="HKG67" s="5"/>
      <c r="HKH67" s="5"/>
      <c r="HKI67" s="5"/>
      <c r="HKJ67" s="5"/>
      <c r="HKK67" s="5"/>
      <c r="HKL67" s="5"/>
      <c r="HKM67" s="5"/>
      <c r="HKN67" s="5"/>
      <c r="HKO67" s="5"/>
      <c r="HKP67" s="5"/>
      <c r="HKQ67" s="5"/>
      <c r="HKR67" s="5"/>
      <c r="HKS67" s="5"/>
      <c r="HKT67" s="5"/>
      <c r="HKU67" s="5"/>
      <c r="HKV67" s="5"/>
      <c r="HKW67" s="5"/>
      <c r="HKX67" s="5"/>
      <c r="HKY67" s="5"/>
      <c r="HKZ67" s="5"/>
      <c r="HLA67" s="5"/>
      <c r="HLB67" s="5"/>
      <c r="HLC67" s="5"/>
      <c r="HLD67" s="5"/>
      <c r="HLE67" s="5"/>
      <c r="HLF67" s="5"/>
      <c r="HLG67" s="5"/>
      <c r="HLH67" s="5"/>
      <c r="HLI67" s="5"/>
      <c r="HLJ67" s="5"/>
      <c r="HLK67" s="5"/>
      <c r="HLL67" s="5"/>
      <c r="HLM67" s="5"/>
      <c r="HLN67" s="5"/>
      <c r="HLO67" s="5"/>
      <c r="HLP67" s="5"/>
      <c r="HLQ67" s="5"/>
      <c r="HLR67" s="5"/>
      <c r="HLS67" s="5"/>
      <c r="HLT67" s="5"/>
      <c r="HLU67" s="5"/>
      <c r="HLV67" s="5"/>
      <c r="HLW67" s="5"/>
      <c r="HLX67" s="5"/>
      <c r="HLY67" s="5"/>
      <c r="HLZ67" s="5"/>
      <c r="HMA67" s="5"/>
      <c r="HMB67" s="5"/>
      <c r="HMC67" s="5"/>
      <c r="HMD67" s="5"/>
      <c r="HME67" s="5"/>
      <c r="HMF67" s="5"/>
      <c r="HMG67" s="5"/>
      <c r="HMH67" s="5"/>
      <c r="HMI67" s="5"/>
      <c r="HMJ67" s="5"/>
      <c r="HMK67" s="5"/>
      <c r="HML67" s="5"/>
      <c r="HMM67" s="5"/>
      <c r="HMN67" s="5"/>
      <c r="HMO67" s="5"/>
      <c r="HMP67" s="5"/>
      <c r="HMQ67" s="5"/>
      <c r="HMR67" s="5"/>
      <c r="HMS67" s="5"/>
      <c r="HMT67" s="5"/>
      <c r="HMU67" s="5"/>
      <c r="HMV67" s="5"/>
      <c r="HMW67" s="5"/>
      <c r="HMX67" s="5"/>
      <c r="HMY67" s="5"/>
      <c r="HMZ67" s="5"/>
      <c r="HNA67" s="5"/>
      <c r="HNB67" s="5"/>
      <c r="HNC67" s="5"/>
      <c r="HND67" s="5"/>
      <c r="HNE67" s="5"/>
      <c r="HNF67" s="5"/>
      <c r="HNG67" s="5"/>
      <c r="HNH67" s="5"/>
      <c r="HNI67" s="5"/>
      <c r="HNJ67" s="5"/>
      <c r="HNK67" s="5"/>
      <c r="HNL67" s="5"/>
      <c r="HNM67" s="5"/>
      <c r="HNN67" s="5"/>
      <c r="HNO67" s="5"/>
      <c r="HNP67" s="5"/>
      <c r="HNQ67" s="5"/>
      <c r="HNR67" s="5"/>
      <c r="HNS67" s="5"/>
      <c r="HNT67" s="5"/>
      <c r="HNU67" s="5"/>
      <c r="HNV67" s="5"/>
      <c r="HNW67" s="5"/>
      <c r="HNX67" s="5"/>
      <c r="HNY67" s="5"/>
      <c r="HNZ67" s="5"/>
      <c r="HOA67" s="5"/>
      <c r="HOB67" s="5"/>
      <c r="HOC67" s="5"/>
      <c r="HOD67" s="5"/>
      <c r="HOE67" s="5"/>
      <c r="HOF67" s="5"/>
      <c r="HOG67" s="5"/>
      <c r="HOH67" s="5"/>
      <c r="HOI67" s="5"/>
      <c r="HOJ67" s="5"/>
      <c r="HOK67" s="5"/>
      <c r="HOL67" s="5"/>
      <c r="HOM67" s="5"/>
      <c r="HON67" s="5"/>
      <c r="HOO67" s="5"/>
      <c r="HOP67" s="5"/>
      <c r="HOQ67" s="5"/>
      <c r="HOR67" s="5"/>
      <c r="HOS67" s="5"/>
      <c r="HOT67" s="5"/>
      <c r="HOU67" s="5"/>
      <c r="HOV67" s="5"/>
      <c r="HOW67" s="5"/>
      <c r="HOX67" s="5"/>
      <c r="HOY67" s="5"/>
      <c r="HOZ67" s="5"/>
      <c r="HPA67" s="5"/>
      <c r="HPB67" s="5"/>
      <c r="HPC67" s="5"/>
      <c r="HPD67" s="5"/>
      <c r="HPE67" s="5"/>
      <c r="HPF67" s="5"/>
      <c r="HPG67" s="5"/>
      <c r="HPH67" s="5"/>
      <c r="HPI67" s="5"/>
      <c r="HPJ67" s="5"/>
      <c r="HPK67" s="5"/>
      <c r="HPL67" s="5"/>
      <c r="HPM67" s="5"/>
      <c r="HPN67" s="5"/>
      <c r="HPO67" s="5"/>
      <c r="HPP67" s="5"/>
      <c r="HPQ67" s="5"/>
      <c r="HPR67" s="5"/>
      <c r="HPS67" s="5"/>
      <c r="HPT67" s="5"/>
      <c r="HPU67" s="5"/>
      <c r="HPV67" s="5"/>
      <c r="HPW67" s="5"/>
      <c r="HPX67" s="5"/>
      <c r="HPY67" s="5"/>
      <c r="HPZ67" s="5"/>
      <c r="HQA67" s="5"/>
      <c r="HQB67" s="5"/>
      <c r="HQC67" s="5"/>
      <c r="HQD67" s="5"/>
      <c r="HQE67" s="5"/>
      <c r="HQF67" s="5"/>
      <c r="HQG67" s="5"/>
      <c r="HQH67" s="5"/>
      <c r="HQI67" s="5"/>
      <c r="HQJ67" s="5"/>
      <c r="HQK67" s="5"/>
      <c r="HQL67" s="5"/>
      <c r="HQM67" s="5"/>
      <c r="HQN67" s="5"/>
      <c r="HQO67" s="5"/>
      <c r="HQP67" s="5"/>
      <c r="HQQ67" s="5"/>
      <c r="HQR67" s="5"/>
      <c r="HQS67" s="5"/>
      <c r="HQT67" s="5"/>
      <c r="HQU67" s="5"/>
      <c r="HQV67" s="5"/>
      <c r="HQW67" s="5"/>
      <c r="HQX67" s="5"/>
      <c r="HQY67" s="5"/>
      <c r="HQZ67" s="5"/>
      <c r="HRA67" s="5"/>
      <c r="HRB67" s="5"/>
      <c r="HRC67" s="5"/>
      <c r="HRD67" s="5"/>
      <c r="HRE67" s="5"/>
      <c r="HRF67" s="5"/>
      <c r="HRG67" s="5"/>
      <c r="HRH67" s="5"/>
      <c r="HRI67" s="5"/>
      <c r="HRJ67" s="5"/>
      <c r="HRK67" s="5"/>
      <c r="HRL67" s="5"/>
      <c r="HRM67" s="5"/>
      <c r="HRN67" s="5"/>
      <c r="HRO67" s="5"/>
      <c r="HRP67" s="5"/>
      <c r="HRQ67" s="5"/>
      <c r="HRR67" s="5"/>
      <c r="HRS67" s="5"/>
      <c r="HRT67" s="5"/>
      <c r="HRU67" s="5"/>
      <c r="HRV67" s="5"/>
      <c r="HRW67" s="5"/>
      <c r="HRX67" s="5"/>
      <c r="HRY67" s="5"/>
      <c r="HRZ67" s="5"/>
      <c r="HSA67" s="5"/>
      <c r="HSB67" s="5"/>
      <c r="HSC67" s="5"/>
      <c r="HSD67" s="5"/>
      <c r="HSE67" s="5"/>
      <c r="HSF67" s="5"/>
      <c r="HSG67" s="5"/>
      <c r="HSH67" s="5"/>
      <c r="HSI67" s="5"/>
      <c r="HSJ67" s="5"/>
      <c r="HSK67" s="5"/>
      <c r="HSL67" s="5"/>
      <c r="HSM67" s="5"/>
      <c r="HSN67" s="5"/>
      <c r="HSO67" s="5"/>
      <c r="HSP67" s="5"/>
      <c r="HSQ67" s="5"/>
      <c r="HSR67" s="5"/>
      <c r="HSS67" s="5"/>
      <c r="HST67" s="5"/>
      <c r="HSU67" s="5"/>
      <c r="HSV67" s="5"/>
      <c r="HSW67" s="5"/>
      <c r="HSX67" s="5"/>
      <c r="HSY67" s="5"/>
      <c r="HSZ67" s="5"/>
      <c r="HTA67" s="5"/>
      <c r="HTB67" s="5"/>
      <c r="HTC67" s="5"/>
      <c r="HTD67" s="5"/>
      <c r="HTE67" s="5"/>
      <c r="HTF67" s="5"/>
      <c r="HTG67" s="5"/>
      <c r="HTH67" s="5"/>
      <c r="HTI67" s="5"/>
      <c r="HTJ67" s="5"/>
      <c r="HTK67" s="5"/>
      <c r="HTL67" s="5"/>
      <c r="HTM67" s="5"/>
      <c r="HTN67" s="5"/>
      <c r="HTO67" s="5"/>
      <c r="HTP67" s="5"/>
      <c r="HTQ67" s="5"/>
      <c r="HTR67" s="5"/>
      <c r="HTS67" s="5"/>
      <c r="HTT67" s="5"/>
      <c r="HTU67" s="5"/>
      <c r="HTV67" s="5"/>
      <c r="HTW67" s="5"/>
      <c r="HTX67" s="5"/>
      <c r="HTY67" s="5"/>
      <c r="HTZ67" s="5"/>
      <c r="HUA67" s="5"/>
      <c r="HUB67" s="5"/>
      <c r="HUC67" s="5"/>
      <c r="HUD67" s="5"/>
      <c r="HUE67" s="5"/>
      <c r="HUF67" s="5"/>
      <c r="HUG67" s="5"/>
      <c r="HUH67" s="5"/>
      <c r="HUI67" s="5"/>
      <c r="HUJ67" s="5"/>
      <c r="HUK67" s="5"/>
      <c r="HUL67" s="5"/>
      <c r="HUM67" s="5"/>
      <c r="HUN67" s="5"/>
      <c r="HUO67" s="5"/>
      <c r="HUP67" s="5"/>
      <c r="HUQ67" s="5"/>
      <c r="HUR67" s="5"/>
      <c r="HUS67" s="5"/>
      <c r="HUT67" s="5"/>
      <c r="HUU67" s="5"/>
      <c r="HUV67" s="5"/>
      <c r="HUW67" s="5"/>
      <c r="HUX67" s="5"/>
      <c r="HUY67" s="5"/>
      <c r="HUZ67" s="5"/>
      <c r="HVA67" s="5"/>
      <c r="HVB67" s="5"/>
      <c r="HVC67" s="5"/>
      <c r="HVD67" s="5"/>
      <c r="HVE67" s="5"/>
      <c r="HVF67" s="5"/>
      <c r="HVG67" s="5"/>
      <c r="HVH67" s="5"/>
      <c r="HVI67" s="5"/>
      <c r="HVJ67" s="5"/>
      <c r="HVK67" s="5"/>
      <c r="HVL67" s="5"/>
      <c r="HVM67" s="5"/>
      <c r="HVN67" s="5"/>
      <c r="HVO67" s="5"/>
      <c r="HVP67" s="5"/>
      <c r="HVQ67" s="5"/>
      <c r="HVR67" s="5"/>
      <c r="HVS67" s="5"/>
      <c r="HVT67" s="5"/>
      <c r="HVU67" s="5"/>
      <c r="HVV67" s="5"/>
      <c r="HVW67" s="5"/>
      <c r="HVX67" s="5"/>
      <c r="HVY67" s="5"/>
      <c r="HVZ67" s="5"/>
      <c r="HWA67" s="5"/>
      <c r="HWB67" s="5"/>
      <c r="HWC67" s="5"/>
      <c r="HWD67" s="5"/>
      <c r="HWE67" s="5"/>
      <c r="HWF67" s="5"/>
      <c r="HWG67" s="5"/>
      <c r="HWH67" s="5"/>
      <c r="HWI67" s="5"/>
      <c r="HWJ67" s="5"/>
      <c r="HWK67" s="5"/>
      <c r="HWL67" s="5"/>
      <c r="HWM67" s="5"/>
      <c r="HWN67" s="5"/>
      <c r="HWO67" s="5"/>
      <c r="HWP67" s="5"/>
      <c r="HWQ67" s="5"/>
      <c r="HWR67" s="5"/>
      <c r="HWS67" s="5"/>
      <c r="HWT67" s="5"/>
      <c r="HWU67" s="5"/>
      <c r="HWV67" s="5"/>
      <c r="HWW67" s="5"/>
      <c r="HWX67" s="5"/>
      <c r="HWY67" s="5"/>
      <c r="HWZ67" s="5"/>
      <c r="HXA67" s="5"/>
      <c r="HXB67" s="5"/>
      <c r="HXC67" s="5"/>
      <c r="HXD67" s="5"/>
      <c r="HXE67" s="5"/>
      <c r="HXF67" s="5"/>
      <c r="HXG67" s="5"/>
      <c r="HXH67" s="5"/>
      <c r="HXI67" s="5"/>
      <c r="HXJ67" s="5"/>
      <c r="HXK67" s="5"/>
      <c r="HXL67" s="5"/>
      <c r="HXM67" s="5"/>
      <c r="HXN67" s="5"/>
      <c r="HXO67" s="5"/>
      <c r="HXP67" s="5"/>
      <c r="HXQ67" s="5"/>
      <c r="HXR67" s="5"/>
      <c r="HXS67" s="5"/>
      <c r="HXT67" s="5"/>
      <c r="HXU67" s="5"/>
      <c r="HXV67" s="5"/>
      <c r="HXW67" s="5"/>
      <c r="HXX67" s="5"/>
      <c r="HXY67" s="5"/>
      <c r="HXZ67" s="5"/>
      <c r="HYA67" s="5"/>
      <c r="HYB67" s="5"/>
      <c r="HYC67" s="5"/>
      <c r="HYD67" s="5"/>
      <c r="HYE67" s="5"/>
      <c r="HYF67" s="5"/>
      <c r="HYG67" s="5"/>
      <c r="HYH67" s="5"/>
      <c r="HYI67" s="5"/>
      <c r="HYJ67" s="5"/>
      <c r="HYK67" s="5"/>
      <c r="HYL67" s="5"/>
      <c r="HYM67" s="5"/>
      <c r="HYN67" s="5"/>
      <c r="HYO67" s="5"/>
      <c r="HYP67" s="5"/>
      <c r="HYQ67" s="5"/>
      <c r="HYR67" s="5"/>
      <c r="HYS67" s="5"/>
      <c r="HYT67" s="5"/>
      <c r="HYU67" s="5"/>
      <c r="HYV67" s="5"/>
      <c r="HYW67" s="5"/>
      <c r="HYX67" s="5"/>
      <c r="HYY67" s="5"/>
      <c r="HYZ67" s="5"/>
      <c r="HZA67" s="5"/>
      <c r="HZB67" s="5"/>
      <c r="HZC67" s="5"/>
      <c r="HZD67" s="5"/>
      <c r="HZE67" s="5"/>
      <c r="HZF67" s="5"/>
      <c r="HZG67" s="5"/>
      <c r="HZH67" s="5"/>
      <c r="HZI67" s="5"/>
      <c r="HZJ67" s="5"/>
      <c r="HZK67" s="5"/>
      <c r="HZL67" s="5"/>
      <c r="HZM67" s="5"/>
      <c r="HZN67" s="5"/>
      <c r="HZO67" s="5"/>
      <c r="HZP67" s="5"/>
      <c r="HZQ67" s="5"/>
      <c r="HZR67" s="5"/>
      <c r="HZS67" s="5"/>
      <c r="HZT67" s="5"/>
      <c r="HZU67" s="5"/>
      <c r="HZV67" s="5"/>
      <c r="HZW67" s="5"/>
      <c r="HZX67" s="5"/>
      <c r="HZY67" s="5"/>
      <c r="HZZ67" s="5"/>
      <c r="IAA67" s="5"/>
      <c r="IAB67" s="5"/>
      <c r="IAC67" s="5"/>
      <c r="IAD67" s="5"/>
      <c r="IAE67" s="5"/>
      <c r="IAF67" s="5"/>
      <c r="IAG67" s="5"/>
      <c r="IAH67" s="5"/>
      <c r="IAI67" s="5"/>
      <c r="IAJ67" s="5"/>
      <c r="IAK67" s="5"/>
      <c r="IAL67" s="5"/>
      <c r="IAM67" s="5"/>
      <c r="IAN67" s="5"/>
      <c r="IAO67" s="5"/>
      <c r="IAP67" s="5"/>
      <c r="IAQ67" s="5"/>
      <c r="IAR67" s="5"/>
      <c r="IAS67" s="5"/>
      <c r="IAT67" s="5"/>
      <c r="IAU67" s="5"/>
      <c r="IAV67" s="5"/>
      <c r="IAW67" s="5"/>
      <c r="IAX67" s="5"/>
      <c r="IAY67" s="5"/>
      <c r="IAZ67" s="5"/>
      <c r="IBA67" s="5"/>
      <c r="IBB67" s="5"/>
      <c r="IBC67" s="5"/>
      <c r="IBD67" s="5"/>
      <c r="IBE67" s="5"/>
      <c r="IBF67" s="5"/>
      <c r="IBG67" s="5"/>
      <c r="IBH67" s="5"/>
      <c r="IBI67" s="5"/>
      <c r="IBJ67" s="5"/>
      <c r="IBK67" s="5"/>
      <c r="IBL67" s="5"/>
      <c r="IBM67" s="5"/>
      <c r="IBN67" s="5"/>
      <c r="IBO67" s="5"/>
      <c r="IBP67" s="5"/>
      <c r="IBQ67" s="5"/>
      <c r="IBR67" s="5"/>
      <c r="IBS67" s="5"/>
      <c r="IBT67" s="5"/>
      <c r="IBU67" s="5"/>
      <c r="IBV67" s="5"/>
      <c r="IBW67" s="5"/>
      <c r="IBX67" s="5"/>
      <c r="IBY67" s="5"/>
      <c r="IBZ67" s="5"/>
      <c r="ICA67" s="5"/>
      <c r="ICB67" s="5"/>
      <c r="ICC67" s="5"/>
      <c r="ICD67" s="5"/>
      <c r="ICE67" s="5"/>
      <c r="ICF67" s="5"/>
      <c r="ICG67" s="5"/>
      <c r="ICH67" s="5"/>
      <c r="ICI67" s="5"/>
      <c r="ICJ67" s="5"/>
      <c r="ICK67" s="5"/>
      <c r="ICL67" s="5"/>
      <c r="ICM67" s="5"/>
      <c r="ICN67" s="5"/>
      <c r="ICO67" s="5"/>
      <c r="ICP67" s="5"/>
      <c r="ICQ67" s="5"/>
      <c r="ICR67" s="5"/>
      <c r="ICS67" s="5"/>
      <c r="ICT67" s="5"/>
      <c r="ICU67" s="5"/>
      <c r="ICV67" s="5"/>
      <c r="ICW67" s="5"/>
      <c r="ICX67" s="5"/>
      <c r="ICY67" s="5"/>
      <c r="ICZ67" s="5"/>
      <c r="IDA67" s="5"/>
      <c r="IDB67" s="5"/>
      <c r="IDC67" s="5"/>
      <c r="IDD67" s="5"/>
      <c r="IDE67" s="5"/>
      <c r="IDF67" s="5"/>
      <c r="IDG67" s="5"/>
      <c r="IDH67" s="5"/>
      <c r="IDI67" s="5"/>
      <c r="IDJ67" s="5"/>
      <c r="IDK67" s="5"/>
      <c r="IDL67" s="5"/>
      <c r="IDM67" s="5"/>
      <c r="IDN67" s="5"/>
      <c r="IDO67" s="5"/>
      <c r="IDP67" s="5"/>
      <c r="IDQ67" s="5"/>
      <c r="IDR67" s="5"/>
      <c r="IDS67" s="5"/>
      <c r="IDT67" s="5"/>
      <c r="IDU67" s="5"/>
      <c r="IDV67" s="5"/>
      <c r="IDW67" s="5"/>
      <c r="IDX67" s="5"/>
      <c r="IDY67" s="5"/>
      <c r="IDZ67" s="5"/>
      <c r="IEA67" s="5"/>
      <c r="IEB67" s="5"/>
      <c r="IEC67" s="5"/>
      <c r="IED67" s="5"/>
      <c r="IEE67" s="5"/>
      <c r="IEF67" s="5"/>
      <c r="IEG67" s="5"/>
      <c r="IEH67" s="5"/>
      <c r="IEI67" s="5"/>
      <c r="IEJ67" s="5"/>
      <c r="IEK67" s="5"/>
      <c r="IEL67" s="5"/>
      <c r="IEM67" s="5"/>
      <c r="IEN67" s="5"/>
      <c r="IEO67" s="5"/>
      <c r="IEP67" s="5"/>
      <c r="IEQ67" s="5"/>
      <c r="IER67" s="5"/>
      <c r="IES67" s="5"/>
      <c r="IET67" s="5"/>
      <c r="IEU67" s="5"/>
      <c r="IEV67" s="5"/>
      <c r="IEW67" s="5"/>
      <c r="IEX67" s="5"/>
      <c r="IEY67" s="5"/>
      <c r="IEZ67" s="5"/>
      <c r="IFA67" s="5"/>
      <c r="IFB67" s="5"/>
      <c r="IFC67" s="5"/>
      <c r="IFD67" s="5"/>
      <c r="IFE67" s="5"/>
      <c r="IFF67" s="5"/>
      <c r="IFG67" s="5"/>
      <c r="IFH67" s="5"/>
      <c r="IFI67" s="5"/>
      <c r="IFJ67" s="5"/>
      <c r="IFK67" s="5"/>
      <c r="IFL67" s="5"/>
      <c r="IFM67" s="5"/>
      <c r="IFN67" s="5"/>
      <c r="IFO67" s="5"/>
      <c r="IFP67" s="5"/>
      <c r="IFQ67" s="5"/>
      <c r="IFR67" s="5"/>
      <c r="IFS67" s="5"/>
      <c r="IFT67" s="5"/>
      <c r="IFU67" s="5"/>
      <c r="IFV67" s="5"/>
      <c r="IFW67" s="5"/>
      <c r="IFX67" s="5"/>
      <c r="IFY67" s="5"/>
      <c r="IFZ67" s="5"/>
      <c r="IGA67" s="5"/>
      <c r="IGB67" s="5"/>
      <c r="IGC67" s="5"/>
      <c r="IGD67" s="5"/>
      <c r="IGE67" s="5"/>
      <c r="IGF67" s="5"/>
      <c r="IGG67" s="5"/>
      <c r="IGH67" s="5"/>
      <c r="IGI67" s="5"/>
      <c r="IGJ67" s="5"/>
      <c r="IGK67" s="5"/>
      <c r="IGL67" s="5"/>
      <c r="IGM67" s="5"/>
      <c r="IGN67" s="5"/>
      <c r="IGO67" s="5"/>
      <c r="IGP67" s="5"/>
      <c r="IGQ67" s="5"/>
      <c r="IGR67" s="5"/>
      <c r="IGS67" s="5"/>
      <c r="IGT67" s="5"/>
      <c r="IGU67" s="5"/>
      <c r="IGV67" s="5"/>
      <c r="IGW67" s="5"/>
      <c r="IGX67" s="5"/>
      <c r="IGY67" s="5"/>
      <c r="IGZ67" s="5"/>
      <c r="IHA67" s="5"/>
      <c r="IHB67" s="5"/>
      <c r="IHC67" s="5"/>
      <c r="IHD67" s="5"/>
      <c r="IHE67" s="5"/>
      <c r="IHF67" s="5"/>
      <c r="IHG67" s="5"/>
      <c r="IHH67" s="5"/>
      <c r="IHI67" s="5"/>
      <c r="IHJ67" s="5"/>
      <c r="IHK67" s="5"/>
      <c r="IHL67" s="5"/>
      <c r="IHM67" s="5"/>
      <c r="IHN67" s="5"/>
      <c r="IHO67" s="5"/>
      <c r="IHP67" s="5"/>
      <c r="IHQ67" s="5"/>
      <c r="IHR67" s="5"/>
      <c r="IHS67" s="5"/>
      <c r="IHT67" s="5"/>
      <c r="IHU67" s="5"/>
      <c r="IHV67" s="5"/>
      <c r="IHW67" s="5"/>
      <c r="IHX67" s="5"/>
      <c r="IHY67" s="5"/>
      <c r="IHZ67" s="5"/>
      <c r="IIA67" s="5"/>
      <c r="IIB67" s="5"/>
      <c r="IIC67" s="5"/>
      <c r="IID67" s="5"/>
      <c r="IIE67" s="5"/>
      <c r="IIF67" s="5"/>
      <c r="IIG67" s="5"/>
      <c r="IIH67" s="5"/>
      <c r="III67" s="5"/>
      <c r="IIJ67" s="5"/>
      <c r="IIK67" s="5"/>
      <c r="IIL67" s="5"/>
      <c r="IIM67" s="5"/>
      <c r="IIN67" s="5"/>
      <c r="IIO67" s="5"/>
      <c r="IIP67" s="5"/>
      <c r="IIQ67" s="5"/>
      <c r="IIR67" s="5"/>
      <c r="IIS67" s="5"/>
      <c r="IIT67" s="5"/>
      <c r="IIU67" s="5"/>
      <c r="IIV67" s="5"/>
      <c r="IIW67" s="5"/>
      <c r="IIX67" s="5"/>
      <c r="IIY67" s="5"/>
      <c r="IIZ67" s="5"/>
      <c r="IJA67" s="5"/>
      <c r="IJB67" s="5"/>
      <c r="IJC67" s="5"/>
      <c r="IJD67" s="5"/>
      <c r="IJE67" s="5"/>
      <c r="IJF67" s="5"/>
      <c r="IJG67" s="5"/>
      <c r="IJH67" s="5"/>
      <c r="IJI67" s="5"/>
      <c r="IJJ67" s="5"/>
      <c r="IJK67" s="5"/>
      <c r="IJL67" s="5"/>
      <c r="IJM67" s="5"/>
      <c r="IJN67" s="5"/>
      <c r="IJO67" s="5"/>
      <c r="IJP67" s="5"/>
      <c r="IJQ67" s="5"/>
      <c r="IJR67" s="5"/>
      <c r="IJS67" s="5"/>
      <c r="IJT67" s="5"/>
      <c r="IJU67" s="5"/>
      <c r="IJV67" s="5"/>
      <c r="IJW67" s="5"/>
      <c r="IJX67" s="5"/>
      <c r="IJY67" s="5"/>
      <c r="IJZ67" s="5"/>
      <c r="IKA67" s="5"/>
      <c r="IKB67" s="5"/>
      <c r="IKC67" s="5"/>
      <c r="IKD67" s="5"/>
      <c r="IKE67" s="5"/>
      <c r="IKF67" s="5"/>
      <c r="IKG67" s="5"/>
      <c r="IKH67" s="5"/>
      <c r="IKI67" s="5"/>
      <c r="IKJ67" s="5"/>
      <c r="IKK67" s="5"/>
      <c r="IKL67" s="5"/>
      <c r="IKM67" s="5"/>
      <c r="IKN67" s="5"/>
      <c r="IKO67" s="5"/>
      <c r="IKP67" s="5"/>
      <c r="IKQ67" s="5"/>
      <c r="IKR67" s="5"/>
      <c r="IKS67" s="5"/>
      <c r="IKT67" s="5"/>
      <c r="IKU67" s="5"/>
      <c r="IKV67" s="5"/>
      <c r="IKW67" s="5"/>
      <c r="IKX67" s="5"/>
      <c r="IKY67" s="5"/>
      <c r="IKZ67" s="5"/>
      <c r="ILA67" s="5"/>
      <c r="ILB67" s="5"/>
      <c r="ILC67" s="5"/>
      <c r="ILD67" s="5"/>
      <c r="ILE67" s="5"/>
      <c r="ILF67" s="5"/>
      <c r="ILG67" s="5"/>
      <c r="ILH67" s="5"/>
      <c r="ILI67" s="5"/>
      <c r="ILJ67" s="5"/>
      <c r="ILK67" s="5"/>
      <c r="ILL67" s="5"/>
      <c r="ILM67" s="5"/>
      <c r="ILN67" s="5"/>
      <c r="ILO67" s="5"/>
      <c r="ILP67" s="5"/>
      <c r="ILQ67" s="5"/>
      <c r="ILR67" s="5"/>
      <c r="ILS67" s="5"/>
      <c r="ILT67" s="5"/>
      <c r="ILU67" s="5"/>
      <c r="ILV67" s="5"/>
      <c r="ILW67" s="5"/>
      <c r="ILX67" s="5"/>
      <c r="ILY67" s="5"/>
      <c r="ILZ67" s="5"/>
      <c r="IMA67" s="5"/>
      <c r="IMB67" s="5"/>
      <c r="IMC67" s="5"/>
      <c r="IMD67" s="5"/>
      <c r="IME67" s="5"/>
      <c r="IMF67" s="5"/>
      <c r="IMG67" s="5"/>
      <c r="IMH67" s="5"/>
      <c r="IMI67" s="5"/>
      <c r="IMJ67" s="5"/>
      <c r="IMK67" s="5"/>
      <c r="IML67" s="5"/>
      <c r="IMM67" s="5"/>
      <c r="IMN67" s="5"/>
      <c r="IMO67" s="5"/>
      <c r="IMP67" s="5"/>
      <c r="IMQ67" s="5"/>
      <c r="IMR67" s="5"/>
      <c r="IMS67" s="5"/>
      <c r="IMT67" s="5"/>
      <c r="IMU67" s="5"/>
      <c r="IMV67" s="5"/>
      <c r="IMW67" s="5"/>
      <c r="IMX67" s="5"/>
      <c r="IMY67" s="5"/>
      <c r="IMZ67" s="5"/>
      <c r="INA67" s="5"/>
      <c r="INB67" s="5"/>
      <c r="INC67" s="5"/>
      <c r="IND67" s="5"/>
      <c r="INE67" s="5"/>
      <c r="INF67" s="5"/>
      <c r="ING67" s="5"/>
      <c r="INH67" s="5"/>
      <c r="INI67" s="5"/>
      <c r="INJ67" s="5"/>
      <c r="INK67" s="5"/>
      <c r="INL67" s="5"/>
      <c r="INM67" s="5"/>
      <c r="INN67" s="5"/>
      <c r="INO67" s="5"/>
      <c r="INP67" s="5"/>
      <c r="INQ67" s="5"/>
      <c r="INR67" s="5"/>
      <c r="INS67" s="5"/>
      <c r="INT67" s="5"/>
      <c r="INU67" s="5"/>
      <c r="INV67" s="5"/>
      <c r="INW67" s="5"/>
      <c r="INX67" s="5"/>
      <c r="INY67" s="5"/>
      <c r="INZ67" s="5"/>
      <c r="IOA67" s="5"/>
      <c r="IOB67" s="5"/>
      <c r="IOC67" s="5"/>
      <c r="IOD67" s="5"/>
      <c r="IOE67" s="5"/>
      <c r="IOF67" s="5"/>
      <c r="IOG67" s="5"/>
      <c r="IOH67" s="5"/>
      <c r="IOI67" s="5"/>
      <c r="IOJ67" s="5"/>
      <c r="IOK67" s="5"/>
      <c r="IOL67" s="5"/>
      <c r="IOM67" s="5"/>
      <c r="ION67" s="5"/>
      <c r="IOO67" s="5"/>
      <c r="IOP67" s="5"/>
      <c r="IOQ67" s="5"/>
      <c r="IOR67" s="5"/>
      <c r="IOS67" s="5"/>
      <c r="IOT67" s="5"/>
      <c r="IOU67" s="5"/>
      <c r="IOV67" s="5"/>
      <c r="IOW67" s="5"/>
      <c r="IOX67" s="5"/>
      <c r="IOY67" s="5"/>
      <c r="IOZ67" s="5"/>
      <c r="IPA67" s="5"/>
      <c r="IPB67" s="5"/>
      <c r="IPC67" s="5"/>
      <c r="IPD67" s="5"/>
      <c r="IPE67" s="5"/>
      <c r="IPF67" s="5"/>
      <c r="IPG67" s="5"/>
      <c r="IPH67" s="5"/>
      <c r="IPI67" s="5"/>
      <c r="IPJ67" s="5"/>
      <c r="IPK67" s="5"/>
      <c r="IPL67" s="5"/>
      <c r="IPM67" s="5"/>
      <c r="IPN67" s="5"/>
      <c r="IPO67" s="5"/>
      <c r="IPP67" s="5"/>
      <c r="IPQ67" s="5"/>
      <c r="IPR67" s="5"/>
      <c r="IPS67" s="5"/>
      <c r="IPT67" s="5"/>
      <c r="IPU67" s="5"/>
      <c r="IPV67" s="5"/>
      <c r="IPW67" s="5"/>
      <c r="IPX67" s="5"/>
      <c r="IPY67" s="5"/>
      <c r="IPZ67" s="5"/>
      <c r="IQA67" s="5"/>
      <c r="IQB67" s="5"/>
      <c r="IQC67" s="5"/>
      <c r="IQD67" s="5"/>
      <c r="IQE67" s="5"/>
      <c r="IQF67" s="5"/>
      <c r="IQG67" s="5"/>
      <c r="IQH67" s="5"/>
      <c r="IQI67" s="5"/>
      <c r="IQJ67" s="5"/>
      <c r="IQK67" s="5"/>
      <c r="IQL67" s="5"/>
      <c r="IQM67" s="5"/>
      <c r="IQN67" s="5"/>
      <c r="IQO67" s="5"/>
      <c r="IQP67" s="5"/>
      <c r="IQQ67" s="5"/>
      <c r="IQR67" s="5"/>
      <c r="IQS67" s="5"/>
      <c r="IQT67" s="5"/>
      <c r="IQU67" s="5"/>
      <c r="IQV67" s="5"/>
      <c r="IQW67" s="5"/>
      <c r="IQX67" s="5"/>
      <c r="IQY67" s="5"/>
      <c r="IQZ67" s="5"/>
      <c r="IRA67" s="5"/>
      <c r="IRB67" s="5"/>
      <c r="IRC67" s="5"/>
      <c r="IRD67" s="5"/>
      <c r="IRE67" s="5"/>
      <c r="IRF67" s="5"/>
      <c r="IRG67" s="5"/>
      <c r="IRH67" s="5"/>
      <c r="IRI67" s="5"/>
      <c r="IRJ67" s="5"/>
      <c r="IRK67" s="5"/>
      <c r="IRL67" s="5"/>
      <c r="IRM67" s="5"/>
      <c r="IRN67" s="5"/>
      <c r="IRO67" s="5"/>
      <c r="IRP67" s="5"/>
      <c r="IRQ67" s="5"/>
      <c r="IRR67" s="5"/>
      <c r="IRS67" s="5"/>
      <c r="IRT67" s="5"/>
      <c r="IRU67" s="5"/>
      <c r="IRV67" s="5"/>
      <c r="IRW67" s="5"/>
      <c r="IRX67" s="5"/>
      <c r="IRY67" s="5"/>
      <c r="IRZ67" s="5"/>
      <c r="ISA67" s="5"/>
      <c r="ISB67" s="5"/>
      <c r="ISC67" s="5"/>
      <c r="ISD67" s="5"/>
      <c r="ISE67" s="5"/>
      <c r="ISF67" s="5"/>
      <c r="ISG67" s="5"/>
      <c r="ISH67" s="5"/>
      <c r="ISI67" s="5"/>
      <c r="ISJ67" s="5"/>
      <c r="ISK67" s="5"/>
      <c r="ISL67" s="5"/>
      <c r="ISM67" s="5"/>
      <c r="ISN67" s="5"/>
      <c r="ISO67" s="5"/>
      <c r="ISP67" s="5"/>
      <c r="ISQ67" s="5"/>
      <c r="ISR67" s="5"/>
      <c r="ISS67" s="5"/>
      <c r="IST67" s="5"/>
      <c r="ISU67" s="5"/>
      <c r="ISV67" s="5"/>
      <c r="ISW67" s="5"/>
      <c r="ISX67" s="5"/>
      <c r="ISY67" s="5"/>
      <c r="ISZ67" s="5"/>
      <c r="ITA67" s="5"/>
      <c r="ITB67" s="5"/>
      <c r="ITC67" s="5"/>
      <c r="ITD67" s="5"/>
      <c r="ITE67" s="5"/>
      <c r="ITF67" s="5"/>
      <c r="ITG67" s="5"/>
      <c r="ITH67" s="5"/>
      <c r="ITI67" s="5"/>
      <c r="ITJ67" s="5"/>
      <c r="ITK67" s="5"/>
      <c r="ITL67" s="5"/>
      <c r="ITM67" s="5"/>
      <c r="ITN67" s="5"/>
      <c r="ITO67" s="5"/>
      <c r="ITP67" s="5"/>
      <c r="ITQ67" s="5"/>
      <c r="ITR67" s="5"/>
      <c r="ITS67" s="5"/>
      <c r="ITT67" s="5"/>
      <c r="ITU67" s="5"/>
      <c r="ITV67" s="5"/>
      <c r="ITW67" s="5"/>
      <c r="ITX67" s="5"/>
      <c r="ITY67" s="5"/>
      <c r="ITZ67" s="5"/>
      <c r="IUA67" s="5"/>
      <c r="IUB67" s="5"/>
      <c r="IUC67" s="5"/>
      <c r="IUD67" s="5"/>
      <c r="IUE67" s="5"/>
      <c r="IUF67" s="5"/>
      <c r="IUG67" s="5"/>
      <c r="IUH67" s="5"/>
      <c r="IUI67" s="5"/>
      <c r="IUJ67" s="5"/>
      <c r="IUK67" s="5"/>
      <c r="IUL67" s="5"/>
      <c r="IUM67" s="5"/>
      <c r="IUN67" s="5"/>
      <c r="IUO67" s="5"/>
      <c r="IUP67" s="5"/>
      <c r="IUQ67" s="5"/>
      <c r="IUR67" s="5"/>
      <c r="IUS67" s="5"/>
      <c r="IUT67" s="5"/>
      <c r="IUU67" s="5"/>
      <c r="IUV67" s="5"/>
      <c r="IUW67" s="5"/>
      <c r="IUX67" s="5"/>
      <c r="IUY67" s="5"/>
      <c r="IUZ67" s="5"/>
      <c r="IVA67" s="5"/>
      <c r="IVB67" s="5"/>
      <c r="IVC67" s="5"/>
      <c r="IVD67" s="5"/>
      <c r="IVE67" s="5"/>
      <c r="IVF67" s="5"/>
      <c r="IVG67" s="5"/>
      <c r="IVH67" s="5"/>
      <c r="IVI67" s="5"/>
      <c r="IVJ67" s="5"/>
      <c r="IVK67" s="5"/>
      <c r="IVL67" s="5"/>
      <c r="IVM67" s="5"/>
      <c r="IVN67" s="5"/>
      <c r="IVO67" s="5"/>
      <c r="IVP67" s="5"/>
      <c r="IVQ67" s="5"/>
      <c r="IVR67" s="5"/>
      <c r="IVS67" s="5"/>
      <c r="IVT67" s="5"/>
      <c r="IVU67" s="5"/>
      <c r="IVV67" s="5"/>
      <c r="IVW67" s="5"/>
      <c r="IVX67" s="5"/>
      <c r="IVY67" s="5"/>
      <c r="IVZ67" s="5"/>
      <c r="IWA67" s="5"/>
      <c r="IWB67" s="5"/>
      <c r="IWC67" s="5"/>
      <c r="IWD67" s="5"/>
      <c r="IWE67" s="5"/>
      <c r="IWF67" s="5"/>
      <c r="IWG67" s="5"/>
      <c r="IWH67" s="5"/>
      <c r="IWI67" s="5"/>
      <c r="IWJ67" s="5"/>
      <c r="IWK67" s="5"/>
      <c r="IWL67" s="5"/>
      <c r="IWM67" s="5"/>
      <c r="IWN67" s="5"/>
      <c r="IWO67" s="5"/>
      <c r="IWP67" s="5"/>
      <c r="IWQ67" s="5"/>
      <c r="IWR67" s="5"/>
      <c r="IWS67" s="5"/>
      <c r="IWT67" s="5"/>
      <c r="IWU67" s="5"/>
      <c r="IWV67" s="5"/>
      <c r="IWW67" s="5"/>
      <c r="IWX67" s="5"/>
      <c r="IWY67" s="5"/>
      <c r="IWZ67" s="5"/>
      <c r="IXA67" s="5"/>
      <c r="IXB67" s="5"/>
      <c r="IXC67" s="5"/>
      <c r="IXD67" s="5"/>
      <c r="IXE67" s="5"/>
      <c r="IXF67" s="5"/>
      <c r="IXG67" s="5"/>
      <c r="IXH67" s="5"/>
      <c r="IXI67" s="5"/>
      <c r="IXJ67" s="5"/>
      <c r="IXK67" s="5"/>
      <c r="IXL67" s="5"/>
      <c r="IXM67" s="5"/>
      <c r="IXN67" s="5"/>
      <c r="IXO67" s="5"/>
      <c r="IXP67" s="5"/>
      <c r="IXQ67" s="5"/>
      <c r="IXR67" s="5"/>
      <c r="IXS67" s="5"/>
      <c r="IXT67" s="5"/>
      <c r="IXU67" s="5"/>
      <c r="IXV67" s="5"/>
      <c r="IXW67" s="5"/>
      <c r="IXX67" s="5"/>
      <c r="IXY67" s="5"/>
      <c r="IXZ67" s="5"/>
      <c r="IYA67" s="5"/>
      <c r="IYB67" s="5"/>
      <c r="IYC67" s="5"/>
      <c r="IYD67" s="5"/>
      <c r="IYE67" s="5"/>
      <c r="IYF67" s="5"/>
      <c r="IYG67" s="5"/>
      <c r="IYH67" s="5"/>
      <c r="IYI67" s="5"/>
      <c r="IYJ67" s="5"/>
      <c r="IYK67" s="5"/>
      <c r="IYL67" s="5"/>
      <c r="IYM67" s="5"/>
      <c r="IYN67" s="5"/>
      <c r="IYO67" s="5"/>
      <c r="IYP67" s="5"/>
      <c r="IYQ67" s="5"/>
      <c r="IYR67" s="5"/>
      <c r="IYS67" s="5"/>
      <c r="IYT67" s="5"/>
      <c r="IYU67" s="5"/>
      <c r="IYV67" s="5"/>
      <c r="IYW67" s="5"/>
      <c r="IYX67" s="5"/>
      <c r="IYY67" s="5"/>
      <c r="IYZ67" s="5"/>
      <c r="IZA67" s="5"/>
      <c r="IZB67" s="5"/>
      <c r="IZC67" s="5"/>
      <c r="IZD67" s="5"/>
      <c r="IZE67" s="5"/>
      <c r="IZF67" s="5"/>
      <c r="IZG67" s="5"/>
      <c r="IZH67" s="5"/>
      <c r="IZI67" s="5"/>
      <c r="IZJ67" s="5"/>
      <c r="IZK67" s="5"/>
      <c r="IZL67" s="5"/>
      <c r="IZM67" s="5"/>
      <c r="IZN67" s="5"/>
      <c r="IZO67" s="5"/>
      <c r="IZP67" s="5"/>
      <c r="IZQ67" s="5"/>
      <c r="IZR67" s="5"/>
      <c r="IZS67" s="5"/>
      <c r="IZT67" s="5"/>
      <c r="IZU67" s="5"/>
      <c r="IZV67" s="5"/>
      <c r="IZW67" s="5"/>
      <c r="IZX67" s="5"/>
      <c r="IZY67" s="5"/>
      <c r="IZZ67" s="5"/>
      <c r="JAA67" s="5"/>
      <c r="JAB67" s="5"/>
      <c r="JAC67" s="5"/>
      <c r="JAD67" s="5"/>
      <c r="JAE67" s="5"/>
      <c r="JAF67" s="5"/>
      <c r="JAG67" s="5"/>
      <c r="JAH67" s="5"/>
      <c r="JAI67" s="5"/>
      <c r="JAJ67" s="5"/>
      <c r="JAK67" s="5"/>
      <c r="JAL67" s="5"/>
      <c r="JAM67" s="5"/>
      <c r="JAN67" s="5"/>
      <c r="JAO67" s="5"/>
      <c r="JAP67" s="5"/>
      <c r="JAQ67" s="5"/>
      <c r="JAR67" s="5"/>
      <c r="JAS67" s="5"/>
      <c r="JAT67" s="5"/>
      <c r="JAU67" s="5"/>
      <c r="JAV67" s="5"/>
      <c r="JAW67" s="5"/>
      <c r="JAX67" s="5"/>
      <c r="JAY67" s="5"/>
      <c r="JAZ67" s="5"/>
      <c r="JBA67" s="5"/>
      <c r="JBB67" s="5"/>
      <c r="JBC67" s="5"/>
      <c r="JBD67" s="5"/>
      <c r="JBE67" s="5"/>
      <c r="JBF67" s="5"/>
      <c r="JBG67" s="5"/>
      <c r="JBH67" s="5"/>
      <c r="JBI67" s="5"/>
      <c r="JBJ67" s="5"/>
      <c r="JBK67" s="5"/>
      <c r="JBL67" s="5"/>
      <c r="JBM67" s="5"/>
      <c r="JBN67" s="5"/>
      <c r="JBO67" s="5"/>
      <c r="JBP67" s="5"/>
      <c r="JBQ67" s="5"/>
      <c r="JBR67" s="5"/>
      <c r="JBS67" s="5"/>
      <c r="JBT67" s="5"/>
      <c r="JBU67" s="5"/>
      <c r="JBV67" s="5"/>
      <c r="JBW67" s="5"/>
      <c r="JBX67" s="5"/>
      <c r="JBY67" s="5"/>
      <c r="JBZ67" s="5"/>
      <c r="JCA67" s="5"/>
      <c r="JCB67" s="5"/>
      <c r="JCC67" s="5"/>
      <c r="JCD67" s="5"/>
      <c r="JCE67" s="5"/>
      <c r="JCF67" s="5"/>
      <c r="JCG67" s="5"/>
      <c r="JCH67" s="5"/>
      <c r="JCI67" s="5"/>
      <c r="JCJ67" s="5"/>
      <c r="JCK67" s="5"/>
      <c r="JCL67" s="5"/>
      <c r="JCM67" s="5"/>
      <c r="JCN67" s="5"/>
      <c r="JCO67" s="5"/>
      <c r="JCP67" s="5"/>
      <c r="JCQ67" s="5"/>
      <c r="JCR67" s="5"/>
      <c r="JCS67" s="5"/>
      <c r="JCT67" s="5"/>
      <c r="JCU67" s="5"/>
      <c r="JCV67" s="5"/>
      <c r="JCW67" s="5"/>
      <c r="JCX67" s="5"/>
      <c r="JCY67" s="5"/>
      <c r="JCZ67" s="5"/>
      <c r="JDA67" s="5"/>
      <c r="JDB67" s="5"/>
      <c r="JDC67" s="5"/>
      <c r="JDD67" s="5"/>
      <c r="JDE67" s="5"/>
      <c r="JDF67" s="5"/>
      <c r="JDG67" s="5"/>
      <c r="JDH67" s="5"/>
      <c r="JDI67" s="5"/>
      <c r="JDJ67" s="5"/>
      <c r="JDK67" s="5"/>
      <c r="JDL67" s="5"/>
      <c r="JDM67" s="5"/>
      <c r="JDN67" s="5"/>
      <c r="JDO67" s="5"/>
      <c r="JDP67" s="5"/>
      <c r="JDQ67" s="5"/>
      <c r="JDR67" s="5"/>
      <c r="JDS67" s="5"/>
      <c r="JDT67" s="5"/>
      <c r="JDU67" s="5"/>
      <c r="JDV67" s="5"/>
      <c r="JDW67" s="5"/>
      <c r="JDX67" s="5"/>
      <c r="JDY67" s="5"/>
      <c r="JDZ67" s="5"/>
      <c r="JEA67" s="5"/>
      <c r="JEB67" s="5"/>
      <c r="JEC67" s="5"/>
      <c r="JED67" s="5"/>
      <c r="JEE67" s="5"/>
      <c r="JEF67" s="5"/>
      <c r="JEG67" s="5"/>
      <c r="JEH67" s="5"/>
      <c r="JEI67" s="5"/>
      <c r="JEJ67" s="5"/>
      <c r="JEK67" s="5"/>
      <c r="JEL67" s="5"/>
      <c r="JEM67" s="5"/>
      <c r="JEN67" s="5"/>
      <c r="JEO67" s="5"/>
      <c r="JEP67" s="5"/>
      <c r="JEQ67" s="5"/>
      <c r="JER67" s="5"/>
      <c r="JES67" s="5"/>
      <c r="JET67" s="5"/>
      <c r="JEU67" s="5"/>
      <c r="JEV67" s="5"/>
      <c r="JEW67" s="5"/>
      <c r="JEX67" s="5"/>
      <c r="JEY67" s="5"/>
      <c r="JEZ67" s="5"/>
      <c r="JFA67" s="5"/>
      <c r="JFB67" s="5"/>
      <c r="JFC67" s="5"/>
      <c r="JFD67" s="5"/>
      <c r="JFE67" s="5"/>
      <c r="JFF67" s="5"/>
      <c r="JFG67" s="5"/>
      <c r="JFH67" s="5"/>
      <c r="JFI67" s="5"/>
      <c r="JFJ67" s="5"/>
      <c r="JFK67" s="5"/>
      <c r="JFL67" s="5"/>
      <c r="JFM67" s="5"/>
      <c r="JFN67" s="5"/>
      <c r="JFO67" s="5"/>
      <c r="JFP67" s="5"/>
      <c r="JFQ67" s="5"/>
      <c r="JFR67" s="5"/>
      <c r="JFS67" s="5"/>
      <c r="JFT67" s="5"/>
      <c r="JFU67" s="5"/>
      <c r="JFV67" s="5"/>
      <c r="JFW67" s="5"/>
      <c r="JFX67" s="5"/>
      <c r="JFY67" s="5"/>
      <c r="JFZ67" s="5"/>
      <c r="JGA67" s="5"/>
      <c r="JGB67" s="5"/>
      <c r="JGC67" s="5"/>
      <c r="JGD67" s="5"/>
      <c r="JGE67" s="5"/>
      <c r="JGF67" s="5"/>
      <c r="JGG67" s="5"/>
      <c r="JGH67" s="5"/>
      <c r="JGI67" s="5"/>
      <c r="JGJ67" s="5"/>
      <c r="JGK67" s="5"/>
      <c r="JGL67" s="5"/>
      <c r="JGM67" s="5"/>
      <c r="JGN67" s="5"/>
      <c r="JGO67" s="5"/>
      <c r="JGP67" s="5"/>
      <c r="JGQ67" s="5"/>
      <c r="JGR67" s="5"/>
      <c r="JGS67" s="5"/>
      <c r="JGT67" s="5"/>
      <c r="JGU67" s="5"/>
      <c r="JGV67" s="5"/>
      <c r="JGW67" s="5"/>
      <c r="JGX67" s="5"/>
      <c r="JGY67" s="5"/>
      <c r="JGZ67" s="5"/>
      <c r="JHA67" s="5"/>
      <c r="JHB67" s="5"/>
      <c r="JHC67" s="5"/>
      <c r="JHD67" s="5"/>
      <c r="JHE67" s="5"/>
      <c r="JHF67" s="5"/>
      <c r="JHG67" s="5"/>
      <c r="JHH67" s="5"/>
      <c r="JHI67" s="5"/>
      <c r="JHJ67" s="5"/>
      <c r="JHK67" s="5"/>
      <c r="JHL67" s="5"/>
      <c r="JHM67" s="5"/>
      <c r="JHN67" s="5"/>
      <c r="JHO67" s="5"/>
      <c r="JHP67" s="5"/>
      <c r="JHQ67" s="5"/>
      <c r="JHR67" s="5"/>
      <c r="JHS67" s="5"/>
      <c r="JHT67" s="5"/>
      <c r="JHU67" s="5"/>
      <c r="JHV67" s="5"/>
      <c r="JHW67" s="5"/>
      <c r="JHX67" s="5"/>
      <c r="JHY67" s="5"/>
      <c r="JHZ67" s="5"/>
      <c r="JIA67" s="5"/>
      <c r="JIB67" s="5"/>
      <c r="JIC67" s="5"/>
      <c r="JID67" s="5"/>
      <c r="JIE67" s="5"/>
      <c r="JIF67" s="5"/>
      <c r="JIG67" s="5"/>
      <c r="JIH67" s="5"/>
      <c r="JII67" s="5"/>
      <c r="JIJ67" s="5"/>
      <c r="JIK67" s="5"/>
      <c r="JIL67" s="5"/>
      <c r="JIM67" s="5"/>
      <c r="JIN67" s="5"/>
      <c r="JIO67" s="5"/>
      <c r="JIP67" s="5"/>
      <c r="JIQ67" s="5"/>
      <c r="JIR67" s="5"/>
      <c r="JIS67" s="5"/>
      <c r="JIT67" s="5"/>
      <c r="JIU67" s="5"/>
      <c r="JIV67" s="5"/>
      <c r="JIW67" s="5"/>
      <c r="JIX67" s="5"/>
      <c r="JIY67" s="5"/>
      <c r="JIZ67" s="5"/>
      <c r="JJA67" s="5"/>
      <c r="JJB67" s="5"/>
      <c r="JJC67" s="5"/>
      <c r="JJD67" s="5"/>
      <c r="JJE67" s="5"/>
      <c r="JJF67" s="5"/>
      <c r="JJG67" s="5"/>
      <c r="JJH67" s="5"/>
      <c r="JJI67" s="5"/>
      <c r="JJJ67" s="5"/>
      <c r="JJK67" s="5"/>
      <c r="JJL67" s="5"/>
      <c r="JJM67" s="5"/>
      <c r="JJN67" s="5"/>
      <c r="JJO67" s="5"/>
      <c r="JJP67" s="5"/>
      <c r="JJQ67" s="5"/>
      <c r="JJR67" s="5"/>
      <c r="JJS67" s="5"/>
      <c r="JJT67" s="5"/>
      <c r="JJU67" s="5"/>
      <c r="JJV67" s="5"/>
      <c r="JJW67" s="5"/>
      <c r="JJX67" s="5"/>
      <c r="JJY67" s="5"/>
      <c r="JJZ67" s="5"/>
      <c r="JKA67" s="5"/>
      <c r="JKB67" s="5"/>
      <c r="JKC67" s="5"/>
      <c r="JKD67" s="5"/>
      <c r="JKE67" s="5"/>
      <c r="JKF67" s="5"/>
      <c r="JKG67" s="5"/>
      <c r="JKH67" s="5"/>
      <c r="JKI67" s="5"/>
      <c r="JKJ67" s="5"/>
      <c r="JKK67" s="5"/>
      <c r="JKL67" s="5"/>
      <c r="JKM67" s="5"/>
      <c r="JKN67" s="5"/>
      <c r="JKO67" s="5"/>
      <c r="JKP67" s="5"/>
      <c r="JKQ67" s="5"/>
      <c r="JKR67" s="5"/>
      <c r="JKS67" s="5"/>
      <c r="JKT67" s="5"/>
      <c r="JKU67" s="5"/>
      <c r="JKV67" s="5"/>
      <c r="JKW67" s="5"/>
      <c r="JKX67" s="5"/>
      <c r="JKY67" s="5"/>
      <c r="JKZ67" s="5"/>
      <c r="JLA67" s="5"/>
      <c r="JLB67" s="5"/>
      <c r="JLC67" s="5"/>
      <c r="JLD67" s="5"/>
      <c r="JLE67" s="5"/>
      <c r="JLF67" s="5"/>
      <c r="JLG67" s="5"/>
      <c r="JLH67" s="5"/>
      <c r="JLI67" s="5"/>
      <c r="JLJ67" s="5"/>
      <c r="JLK67" s="5"/>
      <c r="JLL67" s="5"/>
      <c r="JLM67" s="5"/>
      <c r="JLN67" s="5"/>
      <c r="JLO67" s="5"/>
      <c r="JLP67" s="5"/>
      <c r="JLQ67" s="5"/>
      <c r="JLR67" s="5"/>
      <c r="JLS67" s="5"/>
      <c r="JLT67" s="5"/>
      <c r="JLU67" s="5"/>
      <c r="JLV67" s="5"/>
      <c r="JLW67" s="5"/>
      <c r="JLX67" s="5"/>
      <c r="JLY67" s="5"/>
      <c r="JLZ67" s="5"/>
      <c r="JMA67" s="5"/>
      <c r="JMB67" s="5"/>
      <c r="JMC67" s="5"/>
      <c r="JMD67" s="5"/>
      <c r="JME67" s="5"/>
      <c r="JMF67" s="5"/>
      <c r="JMG67" s="5"/>
      <c r="JMH67" s="5"/>
      <c r="JMI67" s="5"/>
      <c r="JMJ67" s="5"/>
      <c r="JMK67" s="5"/>
      <c r="JML67" s="5"/>
      <c r="JMM67" s="5"/>
      <c r="JMN67" s="5"/>
      <c r="JMO67" s="5"/>
      <c r="JMP67" s="5"/>
      <c r="JMQ67" s="5"/>
      <c r="JMR67" s="5"/>
      <c r="JMS67" s="5"/>
      <c r="JMT67" s="5"/>
      <c r="JMU67" s="5"/>
      <c r="JMV67" s="5"/>
      <c r="JMW67" s="5"/>
      <c r="JMX67" s="5"/>
      <c r="JMY67" s="5"/>
      <c r="JMZ67" s="5"/>
      <c r="JNA67" s="5"/>
      <c r="JNB67" s="5"/>
      <c r="JNC67" s="5"/>
      <c r="JND67" s="5"/>
      <c r="JNE67" s="5"/>
      <c r="JNF67" s="5"/>
      <c r="JNG67" s="5"/>
      <c r="JNH67" s="5"/>
      <c r="JNI67" s="5"/>
      <c r="JNJ67" s="5"/>
      <c r="JNK67" s="5"/>
      <c r="JNL67" s="5"/>
      <c r="JNM67" s="5"/>
      <c r="JNN67" s="5"/>
      <c r="JNO67" s="5"/>
      <c r="JNP67" s="5"/>
      <c r="JNQ67" s="5"/>
      <c r="JNR67" s="5"/>
      <c r="JNS67" s="5"/>
      <c r="JNT67" s="5"/>
      <c r="JNU67" s="5"/>
      <c r="JNV67" s="5"/>
      <c r="JNW67" s="5"/>
      <c r="JNX67" s="5"/>
      <c r="JNY67" s="5"/>
      <c r="JNZ67" s="5"/>
      <c r="JOA67" s="5"/>
      <c r="JOB67" s="5"/>
      <c r="JOC67" s="5"/>
      <c r="JOD67" s="5"/>
      <c r="JOE67" s="5"/>
      <c r="JOF67" s="5"/>
      <c r="JOG67" s="5"/>
      <c r="JOH67" s="5"/>
      <c r="JOI67" s="5"/>
      <c r="JOJ67" s="5"/>
      <c r="JOK67" s="5"/>
      <c r="JOL67" s="5"/>
      <c r="JOM67" s="5"/>
      <c r="JON67" s="5"/>
      <c r="JOO67" s="5"/>
      <c r="JOP67" s="5"/>
      <c r="JOQ67" s="5"/>
      <c r="JOR67" s="5"/>
      <c r="JOS67" s="5"/>
      <c r="JOT67" s="5"/>
      <c r="JOU67" s="5"/>
      <c r="JOV67" s="5"/>
      <c r="JOW67" s="5"/>
      <c r="JOX67" s="5"/>
      <c r="JOY67" s="5"/>
      <c r="JOZ67" s="5"/>
      <c r="JPA67" s="5"/>
      <c r="JPB67" s="5"/>
      <c r="JPC67" s="5"/>
      <c r="JPD67" s="5"/>
      <c r="JPE67" s="5"/>
      <c r="JPF67" s="5"/>
      <c r="JPG67" s="5"/>
      <c r="JPH67" s="5"/>
      <c r="JPI67" s="5"/>
      <c r="JPJ67" s="5"/>
      <c r="JPK67" s="5"/>
      <c r="JPL67" s="5"/>
      <c r="JPM67" s="5"/>
      <c r="JPN67" s="5"/>
      <c r="JPO67" s="5"/>
      <c r="JPP67" s="5"/>
      <c r="JPQ67" s="5"/>
      <c r="JPR67" s="5"/>
      <c r="JPS67" s="5"/>
      <c r="JPT67" s="5"/>
      <c r="JPU67" s="5"/>
      <c r="JPV67" s="5"/>
      <c r="JPW67" s="5"/>
      <c r="JPX67" s="5"/>
      <c r="JPY67" s="5"/>
      <c r="JPZ67" s="5"/>
      <c r="JQA67" s="5"/>
      <c r="JQB67" s="5"/>
      <c r="JQC67" s="5"/>
      <c r="JQD67" s="5"/>
      <c r="JQE67" s="5"/>
      <c r="JQF67" s="5"/>
      <c r="JQG67" s="5"/>
      <c r="JQH67" s="5"/>
      <c r="JQI67" s="5"/>
      <c r="JQJ67" s="5"/>
      <c r="JQK67" s="5"/>
      <c r="JQL67" s="5"/>
      <c r="JQM67" s="5"/>
      <c r="JQN67" s="5"/>
      <c r="JQO67" s="5"/>
      <c r="JQP67" s="5"/>
      <c r="JQQ67" s="5"/>
      <c r="JQR67" s="5"/>
      <c r="JQS67" s="5"/>
      <c r="JQT67" s="5"/>
      <c r="JQU67" s="5"/>
      <c r="JQV67" s="5"/>
      <c r="JQW67" s="5"/>
      <c r="JQX67" s="5"/>
      <c r="JQY67" s="5"/>
      <c r="JQZ67" s="5"/>
      <c r="JRA67" s="5"/>
      <c r="JRB67" s="5"/>
      <c r="JRC67" s="5"/>
      <c r="JRD67" s="5"/>
      <c r="JRE67" s="5"/>
      <c r="JRF67" s="5"/>
      <c r="JRG67" s="5"/>
      <c r="JRH67" s="5"/>
      <c r="JRI67" s="5"/>
      <c r="JRJ67" s="5"/>
      <c r="JRK67" s="5"/>
      <c r="JRL67" s="5"/>
      <c r="JRM67" s="5"/>
      <c r="JRN67" s="5"/>
      <c r="JRO67" s="5"/>
      <c r="JRP67" s="5"/>
      <c r="JRQ67" s="5"/>
      <c r="JRR67" s="5"/>
      <c r="JRS67" s="5"/>
      <c r="JRT67" s="5"/>
      <c r="JRU67" s="5"/>
      <c r="JRV67" s="5"/>
      <c r="JRW67" s="5"/>
      <c r="JRX67" s="5"/>
      <c r="JRY67" s="5"/>
      <c r="JRZ67" s="5"/>
      <c r="JSA67" s="5"/>
      <c r="JSB67" s="5"/>
      <c r="JSC67" s="5"/>
      <c r="JSD67" s="5"/>
      <c r="JSE67" s="5"/>
      <c r="JSF67" s="5"/>
      <c r="JSG67" s="5"/>
      <c r="JSH67" s="5"/>
      <c r="JSI67" s="5"/>
      <c r="JSJ67" s="5"/>
      <c r="JSK67" s="5"/>
      <c r="JSL67" s="5"/>
      <c r="JSM67" s="5"/>
      <c r="JSN67" s="5"/>
      <c r="JSO67" s="5"/>
      <c r="JSP67" s="5"/>
      <c r="JSQ67" s="5"/>
      <c r="JSR67" s="5"/>
      <c r="JSS67" s="5"/>
      <c r="JST67" s="5"/>
      <c r="JSU67" s="5"/>
      <c r="JSV67" s="5"/>
      <c r="JSW67" s="5"/>
      <c r="JSX67" s="5"/>
      <c r="JSY67" s="5"/>
      <c r="JSZ67" s="5"/>
      <c r="JTA67" s="5"/>
      <c r="JTB67" s="5"/>
      <c r="JTC67" s="5"/>
      <c r="JTD67" s="5"/>
      <c r="JTE67" s="5"/>
      <c r="JTF67" s="5"/>
      <c r="JTG67" s="5"/>
      <c r="JTH67" s="5"/>
      <c r="JTI67" s="5"/>
      <c r="JTJ67" s="5"/>
      <c r="JTK67" s="5"/>
      <c r="JTL67" s="5"/>
      <c r="JTM67" s="5"/>
      <c r="JTN67" s="5"/>
      <c r="JTO67" s="5"/>
      <c r="JTP67" s="5"/>
      <c r="JTQ67" s="5"/>
      <c r="JTR67" s="5"/>
      <c r="JTS67" s="5"/>
      <c r="JTT67" s="5"/>
      <c r="JTU67" s="5"/>
      <c r="JTV67" s="5"/>
      <c r="JTW67" s="5"/>
      <c r="JTX67" s="5"/>
      <c r="JTY67" s="5"/>
      <c r="JTZ67" s="5"/>
      <c r="JUA67" s="5"/>
      <c r="JUB67" s="5"/>
      <c r="JUC67" s="5"/>
      <c r="JUD67" s="5"/>
      <c r="JUE67" s="5"/>
      <c r="JUF67" s="5"/>
      <c r="JUG67" s="5"/>
      <c r="JUH67" s="5"/>
      <c r="JUI67" s="5"/>
      <c r="JUJ67" s="5"/>
      <c r="JUK67" s="5"/>
      <c r="JUL67" s="5"/>
      <c r="JUM67" s="5"/>
      <c r="JUN67" s="5"/>
      <c r="JUO67" s="5"/>
      <c r="JUP67" s="5"/>
      <c r="JUQ67" s="5"/>
      <c r="JUR67" s="5"/>
      <c r="JUS67" s="5"/>
      <c r="JUT67" s="5"/>
      <c r="JUU67" s="5"/>
      <c r="JUV67" s="5"/>
      <c r="JUW67" s="5"/>
      <c r="JUX67" s="5"/>
      <c r="JUY67" s="5"/>
      <c r="JUZ67" s="5"/>
      <c r="JVA67" s="5"/>
      <c r="JVB67" s="5"/>
      <c r="JVC67" s="5"/>
      <c r="JVD67" s="5"/>
      <c r="JVE67" s="5"/>
      <c r="JVF67" s="5"/>
      <c r="JVG67" s="5"/>
      <c r="JVH67" s="5"/>
      <c r="JVI67" s="5"/>
      <c r="JVJ67" s="5"/>
      <c r="JVK67" s="5"/>
      <c r="JVL67" s="5"/>
      <c r="JVM67" s="5"/>
      <c r="JVN67" s="5"/>
      <c r="JVO67" s="5"/>
      <c r="JVP67" s="5"/>
      <c r="JVQ67" s="5"/>
      <c r="JVR67" s="5"/>
      <c r="JVS67" s="5"/>
      <c r="JVT67" s="5"/>
      <c r="JVU67" s="5"/>
      <c r="JVV67" s="5"/>
      <c r="JVW67" s="5"/>
      <c r="JVX67" s="5"/>
      <c r="JVY67" s="5"/>
      <c r="JVZ67" s="5"/>
      <c r="JWA67" s="5"/>
      <c r="JWB67" s="5"/>
      <c r="JWC67" s="5"/>
      <c r="JWD67" s="5"/>
      <c r="JWE67" s="5"/>
      <c r="JWF67" s="5"/>
      <c r="JWG67" s="5"/>
      <c r="JWH67" s="5"/>
      <c r="JWI67" s="5"/>
      <c r="JWJ67" s="5"/>
      <c r="JWK67" s="5"/>
      <c r="JWL67" s="5"/>
      <c r="JWM67" s="5"/>
      <c r="JWN67" s="5"/>
      <c r="JWO67" s="5"/>
      <c r="JWP67" s="5"/>
      <c r="JWQ67" s="5"/>
      <c r="JWR67" s="5"/>
      <c r="JWS67" s="5"/>
      <c r="JWT67" s="5"/>
      <c r="JWU67" s="5"/>
      <c r="JWV67" s="5"/>
      <c r="JWW67" s="5"/>
      <c r="JWX67" s="5"/>
      <c r="JWY67" s="5"/>
      <c r="JWZ67" s="5"/>
      <c r="JXA67" s="5"/>
      <c r="JXB67" s="5"/>
      <c r="JXC67" s="5"/>
      <c r="JXD67" s="5"/>
      <c r="JXE67" s="5"/>
      <c r="JXF67" s="5"/>
      <c r="JXG67" s="5"/>
      <c r="JXH67" s="5"/>
      <c r="JXI67" s="5"/>
      <c r="JXJ67" s="5"/>
      <c r="JXK67" s="5"/>
      <c r="JXL67" s="5"/>
      <c r="JXM67" s="5"/>
      <c r="JXN67" s="5"/>
      <c r="JXO67" s="5"/>
      <c r="JXP67" s="5"/>
      <c r="JXQ67" s="5"/>
      <c r="JXR67" s="5"/>
      <c r="JXS67" s="5"/>
      <c r="JXT67" s="5"/>
      <c r="JXU67" s="5"/>
      <c r="JXV67" s="5"/>
      <c r="JXW67" s="5"/>
      <c r="JXX67" s="5"/>
      <c r="JXY67" s="5"/>
      <c r="JXZ67" s="5"/>
      <c r="JYA67" s="5"/>
      <c r="JYB67" s="5"/>
      <c r="JYC67" s="5"/>
      <c r="JYD67" s="5"/>
      <c r="JYE67" s="5"/>
      <c r="JYF67" s="5"/>
      <c r="JYG67" s="5"/>
      <c r="JYH67" s="5"/>
      <c r="JYI67" s="5"/>
      <c r="JYJ67" s="5"/>
      <c r="JYK67" s="5"/>
      <c r="JYL67" s="5"/>
      <c r="JYM67" s="5"/>
      <c r="JYN67" s="5"/>
      <c r="JYO67" s="5"/>
      <c r="JYP67" s="5"/>
      <c r="JYQ67" s="5"/>
      <c r="JYR67" s="5"/>
      <c r="JYS67" s="5"/>
      <c r="JYT67" s="5"/>
      <c r="JYU67" s="5"/>
      <c r="JYV67" s="5"/>
      <c r="JYW67" s="5"/>
      <c r="JYX67" s="5"/>
      <c r="JYY67" s="5"/>
      <c r="JYZ67" s="5"/>
      <c r="JZA67" s="5"/>
      <c r="JZB67" s="5"/>
      <c r="JZC67" s="5"/>
      <c r="JZD67" s="5"/>
      <c r="JZE67" s="5"/>
      <c r="JZF67" s="5"/>
      <c r="JZG67" s="5"/>
      <c r="JZH67" s="5"/>
      <c r="JZI67" s="5"/>
      <c r="JZJ67" s="5"/>
      <c r="JZK67" s="5"/>
      <c r="JZL67" s="5"/>
      <c r="JZM67" s="5"/>
      <c r="JZN67" s="5"/>
      <c r="JZO67" s="5"/>
      <c r="JZP67" s="5"/>
      <c r="JZQ67" s="5"/>
      <c r="JZR67" s="5"/>
      <c r="JZS67" s="5"/>
      <c r="JZT67" s="5"/>
      <c r="JZU67" s="5"/>
      <c r="JZV67" s="5"/>
      <c r="JZW67" s="5"/>
      <c r="JZX67" s="5"/>
      <c r="JZY67" s="5"/>
      <c r="JZZ67" s="5"/>
      <c r="KAA67" s="5"/>
      <c r="KAB67" s="5"/>
      <c r="KAC67" s="5"/>
      <c r="KAD67" s="5"/>
      <c r="KAE67" s="5"/>
      <c r="KAF67" s="5"/>
      <c r="KAG67" s="5"/>
      <c r="KAH67" s="5"/>
      <c r="KAI67" s="5"/>
      <c r="KAJ67" s="5"/>
      <c r="KAK67" s="5"/>
      <c r="KAL67" s="5"/>
      <c r="KAM67" s="5"/>
      <c r="KAN67" s="5"/>
      <c r="KAO67" s="5"/>
      <c r="KAP67" s="5"/>
      <c r="KAQ67" s="5"/>
      <c r="KAR67" s="5"/>
      <c r="KAS67" s="5"/>
      <c r="KAT67" s="5"/>
      <c r="KAU67" s="5"/>
      <c r="KAV67" s="5"/>
      <c r="KAW67" s="5"/>
      <c r="KAX67" s="5"/>
      <c r="KAY67" s="5"/>
      <c r="KAZ67" s="5"/>
      <c r="KBA67" s="5"/>
      <c r="KBB67" s="5"/>
      <c r="KBC67" s="5"/>
      <c r="KBD67" s="5"/>
      <c r="KBE67" s="5"/>
      <c r="KBF67" s="5"/>
      <c r="KBG67" s="5"/>
      <c r="KBH67" s="5"/>
      <c r="KBI67" s="5"/>
      <c r="KBJ67" s="5"/>
      <c r="KBK67" s="5"/>
      <c r="KBL67" s="5"/>
      <c r="KBM67" s="5"/>
      <c r="KBN67" s="5"/>
      <c r="KBO67" s="5"/>
      <c r="KBP67" s="5"/>
      <c r="KBQ67" s="5"/>
      <c r="KBR67" s="5"/>
      <c r="KBS67" s="5"/>
      <c r="KBT67" s="5"/>
      <c r="KBU67" s="5"/>
      <c r="KBV67" s="5"/>
      <c r="KBW67" s="5"/>
      <c r="KBX67" s="5"/>
      <c r="KBY67" s="5"/>
      <c r="KBZ67" s="5"/>
      <c r="KCA67" s="5"/>
      <c r="KCB67" s="5"/>
      <c r="KCC67" s="5"/>
      <c r="KCD67" s="5"/>
      <c r="KCE67" s="5"/>
      <c r="KCF67" s="5"/>
      <c r="KCG67" s="5"/>
      <c r="KCH67" s="5"/>
      <c r="KCI67" s="5"/>
      <c r="KCJ67" s="5"/>
      <c r="KCK67" s="5"/>
      <c r="KCL67" s="5"/>
      <c r="KCM67" s="5"/>
      <c r="KCN67" s="5"/>
      <c r="KCO67" s="5"/>
      <c r="KCP67" s="5"/>
      <c r="KCQ67" s="5"/>
      <c r="KCR67" s="5"/>
      <c r="KCS67" s="5"/>
      <c r="KCT67" s="5"/>
      <c r="KCU67" s="5"/>
      <c r="KCV67" s="5"/>
      <c r="KCW67" s="5"/>
      <c r="KCX67" s="5"/>
      <c r="KCY67" s="5"/>
      <c r="KCZ67" s="5"/>
      <c r="KDA67" s="5"/>
      <c r="KDB67" s="5"/>
      <c r="KDC67" s="5"/>
      <c r="KDD67" s="5"/>
      <c r="KDE67" s="5"/>
      <c r="KDF67" s="5"/>
      <c r="KDG67" s="5"/>
      <c r="KDH67" s="5"/>
      <c r="KDI67" s="5"/>
      <c r="KDJ67" s="5"/>
      <c r="KDK67" s="5"/>
      <c r="KDL67" s="5"/>
      <c r="KDM67" s="5"/>
      <c r="KDN67" s="5"/>
      <c r="KDO67" s="5"/>
      <c r="KDP67" s="5"/>
      <c r="KDQ67" s="5"/>
      <c r="KDR67" s="5"/>
      <c r="KDS67" s="5"/>
      <c r="KDT67" s="5"/>
      <c r="KDU67" s="5"/>
      <c r="KDV67" s="5"/>
      <c r="KDW67" s="5"/>
      <c r="KDX67" s="5"/>
      <c r="KDY67" s="5"/>
      <c r="KDZ67" s="5"/>
      <c r="KEA67" s="5"/>
      <c r="KEB67" s="5"/>
      <c r="KEC67" s="5"/>
      <c r="KED67" s="5"/>
      <c r="KEE67" s="5"/>
      <c r="KEF67" s="5"/>
      <c r="KEG67" s="5"/>
      <c r="KEH67" s="5"/>
      <c r="KEI67" s="5"/>
      <c r="KEJ67" s="5"/>
      <c r="KEK67" s="5"/>
      <c r="KEL67" s="5"/>
      <c r="KEM67" s="5"/>
      <c r="KEN67" s="5"/>
      <c r="KEO67" s="5"/>
      <c r="KEP67" s="5"/>
      <c r="KEQ67" s="5"/>
      <c r="KER67" s="5"/>
      <c r="KES67" s="5"/>
      <c r="KET67" s="5"/>
      <c r="KEU67" s="5"/>
      <c r="KEV67" s="5"/>
      <c r="KEW67" s="5"/>
      <c r="KEX67" s="5"/>
      <c r="KEY67" s="5"/>
      <c r="KEZ67" s="5"/>
      <c r="KFA67" s="5"/>
      <c r="KFB67" s="5"/>
      <c r="KFC67" s="5"/>
      <c r="KFD67" s="5"/>
      <c r="KFE67" s="5"/>
      <c r="KFF67" s="5"/>
      <c r="KFG67" s="5"/>
      <c r="KFH67" s="5"/>
      <c r="KFI67" s="5"/>
      <c r="KFJ67" s="5"/>
      <c r="KFK67" s="5"/>
      <c r="KFL67" s="5"/>
      <c r="KFM67" s="5"/>
      <c r="KFN67" s="5"/>
      <c r="KFO67" s="5"/>
      <c r="KFP67" s="5"/>
      <c r="KFQ67" s="5"/>
      <c r="KFR67" s="5"/>
      <c r="KFS67" s="5"/>
      <c r="KFT67" s="5"/>
      <c r="KFU67" s="5"/>
      <c r="KFV67" s="5"/>
      <c r="KFW67" s="5"/>
      <c r="KFX67" s="5"/>
      <c r="KFY67" s="5"/>
      <c r="KFZ67" s="5"/>
      <c r="KGA67" s="5"/>
      <c r="KGB67" s="5"/>
      <c r="KGC67" s="5"/>
      <c r="KGD67" s="5"/>
      <c r="KGE67" s="5"/>
      <c r="KGF67" s="5"/>
      <c r="KGG67" s="5"/>
      <c r="KGH67" s="5"/>
      <c r="KGI67" s="5"/>
      <c r="KGJ67" s="5"/>
      <c r="KGK67" s="5"/>
      <c r="KGL67" s="5"/>
      <c r="KGM67" s="5"/>
      <c r="KGN67" s="5"/>
      <c r="KGO67" s="5"/>
      <c r="KGP67" s="5"/>
      <c r="KGQ67" s="5"/>
      <c r="KGR67" s="5"/>
      <c r="KGS67" s="5"/>
      <c r="KGT67" s="5"/>
      <c r="KGU67" s="5"/>
      <c r="KGV67" s="5"/>
      <c r="KGW67" s="5"/>
      <c r="KGX67" s="5"/>
      <c r="KGY67" s="5"/>
      <c r="KGZ67" s="5"/>
      <c r="KHA67" s="5"/>
      <c r="KHB67" s="5"/>
      <c r="KHC67" s="5"/>
      <c r="KHD67" s="5"/>
      <c r="KHE67" s="5"/>
      <c r="KHF67" s="5"/>
      <c r="KHG67" s="5"/>
      <c r="KHH67" s="5"/>
      <c r="KHI67" s="5"/>
      <c r="KHJ67" s="5"/>
      <c r="KHK67" s="5"/>
      <c r="KHL67" s="5"/>
      <c r="KHM67" s="5"/>
      <c r="KHN67" s="5"/>
      <c r="KHO67" s="5"/>
      <c r="KHP67" s="5"/>
      <c r="KHQ67" s="5"/>
      <c r="KHR67" s="5"/>
      <c r="KHS67" s="5"/>
      <c r="KHT67" s="5"/>
      <c r="KHU67" s="5"/>
      <c r="KHV67" s="5"/>
      <c r="KHW67" s="5"/>
      <c r="KHX67" s="5"/>
      <c r="KHY67" s="5"/>
      <c r="KHZ67" s="5"/>
      <c r="KIA67" s="5"/>
      <c r="KIB67" s="5"/>
      <c r="KIC67" s="5"/>
      <c r="KID67" s="5"/>
      <c r="KIE67" s="5"/>
      <c r="KIF67" s="5"/>
      <c r="KIG67" s="5"/>
      <c r="KIH67" s="5"/>
      <c r="KII67" s="5"/>
      <c r="KIJ67" s="5"/>
      <c r="KIK67" s="5"/>
      <c r="KIL67" s="5"/>
      <c r="KIM67" s="5"/>
      <c r="KIN67" s="5"/>
      <c r="KIO67" s="5"/>
      <c r="KIP67" s="5"/>
      <c r="KIQ67" s="5"/>
      <c r="KIR67" s="5"/>
      <c r="KIS67" s="5"/>
      <c r="KIT67" s="5"/>
      <c r="KIU67" s="5"/>
      <c r="KIV67" s="5"/>
      <c r="KIW67" s="5"/>
      <c r="KIX67" s="5"/>
      <c r="KIY67" s="5"/>
      <c r="KIZ67" s="5"/>
      <c r="KJA67" s="5"/>
      <c r="KJB67" s="5"/>
      <c r="KJC67" s="5"/>
      <c r="KJD67" s="5"/>
      <c r="KJE67" s="5"/>
      <c r="KJF67" s="5"/>
      <c r="KJG67" s="5"/>
      <c r="KJH67" s="5"/>
      <c r="KJI67" s="5"/>
      <c r="KJJ67" s="5"/>
      <c r="KJK67" s="5"/>
      <c r="KJL67" s="5"/>
      <c r="KJM67" s="5"/>
      <c r="KJN67" s="5"/>
      <c r="KJO67" s="5"/>
      <c r="KJP67" s="5"/>
      <c r="KJQ67" s="5"/>
      <c r="KJR67" s="5"/>
      <c r="KJS67" s="5"/>
      <c r="KJT67" s="5"/>
      <c r="KJU67" s="5"/>
      <c r="KJV67" s="5"/>
      <c r="KJW67" s="5"/>
      <c r="KJX67" s="5"/>
      <c r="KJY67" s="5"/>
      <c r="KJZ67" s="5"/>
      <c r="KKA67" s="5"/>
      <c r="KKB67" s="5"/>
      <c r="KKC67" s="5"/>
      <c r="KKD67" s="5"/>
      <c r="KKE67" s="5"/>
      <c r="KKF67" s="5"/>
      <c r="KKG67" s="5"/>
      <c r="KKH67" s="5"/>
      <c r="KKI67" s="5"/>
      <c r="KKJ67" s="5"/>
      <c r="KKK67" s="5"/>
      <c r="KKL67" s="5"/>
      <c r="KKM67" s="5"/>
      <c r="KKN67" s="5"/>
      <c r="KKO67" s="5"/>
      <c r="KKP67" s="5"/>
      <c r="KKQ67" s="5"/>
      <c r="KKR67" s="5"/>
      <c r="KKS67" s="5"/>
      <c r="KKT67" s="5"/>
      <c r="KKU67" s="5"/>
      <c r="KKV67" s="5"/>
      <c r="KKW67" s="5"/>
      <c r="KKX67" s="5"/>
      <c r="KKY67" s="5"/>
      <c r="KKZ67" s="5"/>
      <c r="KLA67" s="5"/>
      <c r="KLB67" s="5"/>
      <c r="KLC67" s="5"/>
      <c r="KLD67" s="5"/>
      <c r="KLE67" s="5"/>
      <c r="KLF67" s="5"/>
      <c r="KLG67" s="5"/>
      <c r="KLH67" s="5"/>
      <c r="KLI67" s="5"/>
      <c r="KLJ67" s="5"/>
      <c r="KLK67" s="5"/>
      <c r="KLL67" s="5"/>
      <c r="KLM67" s="5"/>
      <c r="KLN67" s="5"/>
      <c r="KLO67" s="5"/>
      <c r="KLP67" s="5"/>
      <c r="KLQ67" s="5"/>
      <c r="KLR67" s="5"/>
      <c r="KLS67" s="5"/>
      <c r="KLT67" s="5"/>
      <c r="KLU67" s="5"/>
      <c r="KLV67" s="5"/>
      <c r="KLW67" s="5"/>
      <c r="KLX67" s="5"/>
      <c r="KLY67" s="5"/>
      <c r="KLZ67" s="5"/>
      <c r="KMA67" s="5"/>
      <c r="KMB67" s="5"/>
      <c r="KMC67" s="5"/>
      <c r="KMD67" s="5"/>
      <c r="KME67" s="5"/>
      <c r="KMF67" s="5"/>
      <c r="KMG67" s="5"/>
      <c r="KMH67" s="5"/>
      <c r="KMI67" s="5"/>
      <c r="KMJ67" s="5"/>
      <c r="KMK67" s="5"/>
      <c r="KML67" s="5"/>
      <c r="KMM67" s="5"/>
      <c r="KMN67" s="5"/>
      <c r="KMO67" s="5"/>
      <c r="KMP67" s="5"/>
      <c r="KMQ67" s="5"/>
      <c r="KMR67" s="5"/>
      <c r="KMS67" s="5"/>
      <c r="KMT67" s="5"/>
      <c r="KMU67" s="5"/>
      <c r="KMV67" s="5"/>
      <c r="KMW67" s="5"/>
      <c r="KMX67" s="5"/>
      <c r="KMY67" s="5"/>
      <c r="KMZ67" s="5"/>
      <c r="KNA67" s="5"/>
      <c r="KNB67" s="5"/>
      <c r="KNC67" s="5"/>
      <c r="KND67" s="5"/>
      <c r="KNE67" s="5"/>
      <c r="KNF67" s="5"/>
      <c r="KNG67" s="5"/>
      <c r="KNH67" s="5"/>
      <c r="KNI67" s="5"/>
      <c r="KNJ67" s="5"/>
      <c r="KNK67" s="5"/>
      <c r="KNL67" s="5"/>
      <c r="KNM67" s="5"/>
      <c r="KNN67" s="5"/>
      <c r="KNO67" s="5"/>
      <c r="KNP67" s="5"/>
      <c r="KNQ67" s="5"/>
      <c r="KNR67" s="5"/>
      <c r="KNS67" s="5"/>
      <c r="KNT67" s="5"/>
      <c r="KNU67" s="5"/>
      <c r="KNV67" s="5"/>
      <c r="KNW67" s="5"/>
      <c r="KNX67" s="5"/>
      <c r="KNY67" s="5"/>
      <c r="KNZ67" s="5"/>
      <c r="KOA67" s="5"/>
      <c r="KOB67" s="5"/>
      <c r="KOC67" s="5"/>
      <c r="KOD67" s="5"/>
      <c r="KOE67" s="5"/>
      <c r="KOF67" s="5"/>
      <c r="KOG67" s="5"/>
      <c r="KOH67" s="5"/>
      <c r="KOI67" s="5"/>
      <c r="KOJ67" s="5"/>
      <c r="KOK67" s="5"/>
      <c r="KOL67" s="5"/>
      <c r="KOM67" s="5"/>
      <c r="KON67" s="5"/>
      <c r="KOO67" s="5"/>
      <c r="KOP67" s="5"/>
      <c r="KOQ67" s="5"/>
      <c r="KOR67" s="5"/>
      <c r="KOS67" s="5"/>
      <c r="KOT67" s="5"/>
      <c r="KOU67" s="5"/>
      <c r="KOV67" s="5"/>
      <c r="KOW67" s="5"/>
      <c r="KOX67" s="5"/>
      <c r="KOY67" s="5"/>
      <c r="KOZ67" s="5"/>
      <c r="KPA67" s="5"/>
      <c r="KPB67" s="5"/>
      <c r="KPC67" s="5"/>
      <c r="KPD67" s="5"/>
      <c r="KPE67" s="5"/>
      <c r="KPF67" s="5"/>
      <c r="KPG67" s="5"/>
      <c r="KPH67" s="5"/>
      <c r="KPI67" s="5"/>
      <c r="KPJ67" s="5"/>
      <c r="KPK67" s="5"/>
      <c r="KPL67" s="5"/>
      <c r="KPM67" s="5"/>
      <c r="KPN67" s="5"/>
      <c r="KPO67" s="5"/>
      <c r="KPP67" s="5"/>
      <c r="KPQ67" s="5"/>
      <c r="KPR67" s="5"/>
      <c r="KPS67" s="5"/>
      <c r="KPT67" s="5"/>
      <c r="KPU67" s="5"/>
      <c r="KPV67" s="5"/>
      <c r="KPW67" s="5"/>
      <c r="KPX67" s="5"/>
      <c r="KPY67" s="5"/>
      <c r="KPZ67" s="5"/>
      <c r="KQA67" s="5"/>
      <c r="KQB67" s="5"/>
      <c r="KQC67" s="5"/>
      <c r="KQD67" s="5"/>
      <c r="KQE67" s="5"/>
      <c r="KQF67" s="5"/>
      <c r="KQG67" s="5"/>
      <c r="KQH67" s="5"/>
      <c r="KQI67" s="5"/>
      <c r="KQJ67" s="5"/>
      <c r="KQK67" s="5"/>
      <c r="KQL67" s="5"/>
      <c r="KQM67" s="5"/>
      <c r="KQN67" s="5"/>
      <c r="KQO67" s="5"/>
      <c r="KQP67" s="5"/>
      <c r="KQQ67" s="5"/>
      <c r="KQR67" s="5"/>
      <c r="KQS67" s="5"/>
      <c r="KQT67" s="5"/>
      <c r="KQU67" s="5"/>
      <c r="KQV67" s="5"/>
      <c r="KQW67" s="5"/>
      <c r="KQX67" s="5"/>
      <c r="KQY67" s="5"/>
      <c r="KQZ67" s="5"/>
      <c r="KRA67" s="5"/>
      <c r="KRB67" s="5"/>
      <c r="KRC67" s="5"/>
      <c r="KRD67" s="5"/>
      <c r="KRE67" s="5"/>
      <c r="KRF67" s="5"/>
      <c r="KRG67" s="5"/>
      <c r="KRH67" s="5"/>
      <c r="KRI67" s="5"/>
      <c r="KRJ67" s="5"/>
      <c r="KRK67" s="5"/>
      <c r="KRL67" s="5"/>
      <c r="KRM67" s="5"/>
      <c r="KRN67" s="5"/>
      <c r="KRO67" s="5"/>
      <c r="KRP67" s="5"/>
      <c r="KRQ67" s="5"/>
      <c r="KRR67" s="5"/>
      <c r="KRS67" s="5"/>
      <c r="KRT67" s="5"/>
      <c r="KRU67" s="5"/>
      <c r="KRV67" s="5"/>
      <c r="KRW67" s="5"/>
      <c r="KRX67" s="5"/>
      <c r="KRY67" s="5"/>
      <c r="KRZ67" s="5"/>
      <c r="KSA67" s="5"/>
      <c r="KSB67" s="5"/>
      <c r="KSC67" s="5"/>
      <c r="KSD67" s="5"/>
      <c r="KSE67" s="5"/>
      <c r="KSF67" s="5"/>
      <c r="KSG67" s="5"/>
      <c r="KSH67" s="5"/>
      <c r="KSI67" s="5"/>
      <c r="KSJ67" s="5"/>
      <c r="KSK67" s="5"/>
      <c r="KSL67" s="5"/>
      <c r="KSM67" s="5"/>
      <c r="KSN67" s="5"/>
      <c r="KSO67" s="5"/>
      <c r="KSP67" s="5"/>
      <c r="KSQ67" s="5"/>
      <c r="KSR67" s="5"/>
      <c r="KSS67" s="5"/>
      <c r="KST67" s="5"/>
      <c r="KSU67" s="5"/>
      <c r="KSV67" s="5"/>
      <c r="KSW67" s="5"/>
      <c r="KSX67" s="5"/>
      <c r="KSY67" s="5"/>
      <c r="KSZ67" s="5"/>
      <c r="KTA67" s="5"/>
      <c r="KTB67" s="5"/>
      <c r="KTC67" s="5"/>
      <c r="KTD67" s="5"/>
      <c r="KTE67" s="5"/>
      <c r="KTF67" s="5"/>
      <c r="KTG67" s="5"/>
      <c r="KTH67" s="5"/>
      <c r="KTI67" s="5"/>
      <c r="KTJ67" s="5"/>
      <c r="KTK67" s="5"/>
      <c r="KTL67" s="5"/>
      <c r="KTM67" s="5"/>
      <c r="KTN67" s="5"/>
      <c r="KTO67" s="5"/>
      <c r="KTP67" s="5"/>
      <c r="KTQ67" s="5"/>
      <c r="KTR67" s="5"/>
      <c r="KTS67" s="5"/>
      <c r="KTT67" s="5"/>
      <c r="KTU67" s="5"/>
      <c r="KTV67" s="5"/>
      <c r="KTW67" s="5"/>
      <c r="KTX67" s="5"/>
      <c r="KTY67" s="5"/>
      <c r="KTZ67" s="5"/>
      <c r="KUA67" s="5"/>
      <c r="KUB67" s="5"/>
      <c r="KUC67" s="5"/>
      <c r="KUD67" s="5"/>
      <c r="KUE67" s="5"/>
      <c r="KUF67" s="5"/>
      <c r="KUG67" s="5"/>
      <c r="KUH67" s="5"/>
      <c r="KUI67" s="5"/>
      <c r="KUJ67" s="5"/>
      <c r="KUK67" s="5"/>
      <c r="KUL67" s="5"/>
      <c r="KUM67" s="5"/>
      <c r="KUN67" s="5"/>
      <c r="KUO67" s="5"/>
      <c r="KUP67" s="5"/>
      <c r="KUQ67" s="5"/>
      <c r="KUR67" s="5"/>
      <c r="KUS67" s="5"/>
      <c r="KUT67" s="5"/>
      <c r="KUU67" s="5"/>
      <c r="KUV67" s="5"/>
      <c r="KUW67" s="5"/>
      <c r="KUX67" s="5"/>
      <c r="KUY67" s="5"/>
      <c r="KUZ67" s="5"/>
      <c r="KVA67" s="5"/>
      <c r="KVB67" s="5"/>
      <c r="KVC67" s="5"/>
      <c r="KVD67" s="5"/>
      <c r="KVE67" s="5"/>
      <c r="KVF67" s="5"/>
      <c r="KVG67" s="5"/>
      <c r="KVH67" s="5"/>
      <c r="KVI67" s="5"/>
      <c r="KVJ67" s="5"/>
      <c r="KVK67" s="5"/>
      <c r="KVL67" s="5"/>
      <c r="KVM67" s="5"/>
      <c r="KVN67" s="5"/>
      <c r="KVO67" s="5"/>
      <c r="KVP67" s="5"/>
      <c r="KVQ67" s="5"/>
      <c r="KVR67" s="5"/>
      <c r="KVS67" s="5"/>
      <c r="KVT67" s="5"/>
      <c r="KVU67" s="5"/>
      <c r="KVV67" s="5"/>
      <c r="KVW67" s="5"/>
      <c r="KVX67" s="5"/>
      <c r="KVY67" s="5"/>
      <c r="KVZ67" s="5"/>
      <c r="KWA67" s="5"/>
      <c r="KWB67" s="5"/>
      <c r="KWC67" s="5"/>
      <c r="KWD67" s="5"/>
      <c r="KWE67" s="5"/>
      <c r="KWF67" s="5"/>
      <c r="KWG67" s="5"/>
      <c r="KWH67" s="5"/>
      <c r="KWI67" s="5"/>
      <c r="KWJ67" s="5"/>
      <c r="KWK67" s="5"/>
      <c r="KWL67" s="5"/>
      <c r="KWM67" s="5"/>
      <c r="KWN67" s="5"/>
      <c r="KWO67" s="5"/>
      <c r="KWP67" s="5"/>
      <c r="KWQ67" s="5"/>
      <c r="KWR67" s="5"/>
      <c r="KWS67" s="5"/>
      <c r="KWT67" s="5"/>
      <c r="KWU67" s="5"/>
      <c r="KWV67" s="5"/>
      <c r="KWW67" s="5"/>
      <c r="KWX67" s="5"/>
      <c r="KWY67" s="5"/>
      <c r="KWZ67" s="5"/>
      <c r="KXA67" s="5"/>
      <c r="KXB67" s="5"/>
      <c r="KXC67" s="5"/>
      <c r="KXD67" s="5"/>
      <c r="KXE67" s="5"/>
      <c r="KXF67" s="5"/>
      <c r="KXG67" s="5"/>
      <c r="KXH67" s="5"/>
      <c r="KXI67" s="5"/>
      <c r="KXJ67" s="5"/>
      <c r="KXK67" s="5"/>
      <c r="KXL67" s="5"/>
      <c r="KXM67" s="5"/>
      <c r="KXN67" s="5"/>
      <c r="KXO67" s="5"/>
      <c r="KXP67" s="5"/>
      <c r="KXQ67" s="5"/>
      <c r="KXR67" s="5"/>
      <c r="KXS67" s="5"/>
      <c r="KXT67" s="5"/>
      <c r="KXU67" s="5"/>
      <c r="KXV67" s="5"/>
      <c r="KXW67" s="5"/>
      <c r="KXX67" s="5"/>
      <c r="KXY67" s="5"/>
      <c r="KXZ67" s="5"/>
      <c r="KYA67" s="5"/>
      <c r="KYB67" s="5"/>
      <c r="KYC67" s="5"/>
      <c r="KYD67" s="5"/>
      <c r="KYE67" s="5"/>
      <c r="KYF67" s="5"/>
      <c r="KYG67" s="5"/>
      <c r="KYH67" s="5"/>
      <c r="KYI67" s="5"/>
      <c r="KYJ67" s="5"/>
      <c r="KYK67" s="5"/>
      <c r="KYL67" s="5"/>
      <c r="KYM67" s="5"/>
      <c r="KYN67" s="5"/>
      <c r="KYO67" s="5"/>
      <c r="KYP67" s="5"/>
      <c r="KYQ67" s="5"/>
      <c r="KYR67" s="5"/>
      <c r="KYS67" s="5"/>
      <c r="KYT67" s="5"/>
      <c r="KYU67" s="5"/>
      <c r="KYV67" s="5"/>
      <c r="KYW67" s="5"/>
      <c r="KYX67" s="5"/>
      <c r="KYY67" s="5"/>
      <c r="KYZ67" s="5"/>
      <c r="KZA67" s="5"/>
      <c r="KZB67" s="5"/>
      <c r="KZC67" s="5"/>
      <c r="KZD67" s="5"/>
      <c r="KZE67" s="5"/>
      <c r="KZF67" s="5"/>
      <c r="KZG67" s="5"/>
      <c r="KZH67" s="5"/>
      <c r="KZI67" s="5"/>
      <c r="KZJ67" s="5"/>
      <c r="KZK67" s="5"/>
      <c r="KZL67" s="5"/>
      <c r="KZM67" s="5"/>
      <c r="KZN67" s="5"/>
      <c r="KZO67" s="5"/>
      <c r="KZP67" s="5"/>
      <c r="KZQ67" s="5"/>
      <c r="KZR67" s="5"/>
      <c r="KZS67" s="5"/>
      <c r="KZT67" s="5"/>
      <c r="KZU67" s="5"/>
      <c r="KZV67" s="5"/>
      <c r="KZW67" s="5"/>
      <c r="KZX67" s="5"/>
      <c r="KZY67" s="5"/>
      <c r="KZZ67" s="5"/>
      <c r="LAA67" s="5"/>
      <c r="LAB67" s="5"/>
      <c r="LAC67" s="5"/>
      <c r="LAD67" s="5"/>
      <c r="LAE67" s="5"/>
      <c r="LAF67" s="5"/>
      <c r="LAG67" s="5"/>
      <c r="LAH67" s="5"/>
      <c r="LAI67" s="5"/>
      <c r="LAJ67" s="5"/>
      <c r="LAK67" s="5"/>
      <c r="LAL67" s="5"/>
      <c r="LAM67" s="5"/>
      <c r="LAN67" s="5"/>
      <c r="LAO67" s="5"/>
      <c r="LAP67" s="5"/>
      <c r="LAQ67" s="5"/>
      <c r="LAR67" s="5"/>
      <c r="LAS67" s="5"/>
      <c r="LAT67" s="5"/>
      <c r="LAU67" s="5"/>
      <c r="LAV67" s="5"/>
      <c r="LAW67" s="5"/>
      <c r="LAX67" s="5"/>
      <c r="LAY67" s="5"/>
      <c r="LAZ67" s="5"/>
      <c r="LBA67" s="5"/>
      <c r="LBB67" s="5"/>
      <c r="LBC67" s="5"/>
      <c r="LBD67" s="5"/>
      <c r="LBE67" s="5"/>
      <c r="LBF67" s="5"/>
      <c r="LBG67" s="5"/>
      <c r="LBH67" s="5"/>
      <c r="LBI67" s="5"/>
      <c r="LBJ67" s="5"/>
      <c r="LBK67" s="5"/>
      <c r="LBL67" s="5"/>
      <c r="LBM67" s="5"/>
      <c r="LBN67" s="5"/>
      <c r="LBO67" s="5"/>
      <c r="LBP67" s="5"/>
      <c r="LBQ67" s="5"/>
      <c r="LBR67" s="5"/>
      <c r="LBS67" s="5"/>
      <c r="LBT67" s="5"/>
      <c r="LBU67" s="5"/>
      <c r="LBV67" s="5"/>
      <c r="LBW67" s="5"/>
      <c r="LBX67" s="5"/>
      <c r="LBY67" s="5"/>
      <c r="LBZ67" s="5"/>
      <c r="LCA67" s="5"/>
      <c r="LCB67" s="5"/>
      <c r="LCC67" s="5"/>
      <c r="LCD67" s="5"/>
      <c r="LCE67" s="5"/>
      <c r="LCF67" s="5"/>
      <c r="LCG67" s="5"/>
      <c r="LCH67" s="5"/>
      <c r="LCI67" s="5"/>
      <c r="LCJ67" s="5"/>
      <c r="LCK67" s="5"/>
      <c r="LCL67" s="5"/>
      <c r="LCM67" s="5"/>
      <c r="LCN67" s="5"/>
      <c r="LCO67" s="5"/>
      <c r="LCP67" s="5"/>
      <c r="LCQ67" s="5"/>
      <c r="LCR67" s="5"/>
      <c r="LCS67" s="5"/>
      <c r="LCT67" s="5"/>
      <c r="LCU67" s="5"/>
      <c r="LCV67" s="5"/>
      <c r="LCW67" s="5"/>
      <c r="LCX67" s="5"/>
      <c r="LCY67" s="5"/>
      <c r="LCZ67" s="5"/>
      <c r="LDA67" s="5"/>
      <c r="LDB67" s="5"/>
      <c r="LDC67" s="5"/>
      <c r="LDD67" s="5"/>
      <c r="LDE67" s="5"/>
      <c r="LDF67" s="5"/>
      <c r="LDG67" s="5"/>
      <c r="LDH67" s="5"/>
      <c r="LDI67" s="5"/>
      <c r="LDJ67" s="5"/>
      <c r="LDK67" s="5"/>
      <c r="LDL67" s="5"/>
      <c r="LDM67" s="5"/>
      <c r="LDN67" s="5"/>
      <c r="LDO67" s="5"/>
      <c r="LDP67" s="5"/>
      <c r="LDQ67" s="5"/>
      <c r="LDR67" s="5"/>
      <c r="LDS67" s="5"/>
      <c r="LDT67" s="5"/>
      <c r="LDU67" s="5"/>
      <c r="LDV67" s="5"/>
      <c r="LDW67" s="5"/>
      <c r="LDX67" s="5"/>
      <c r="LDY67" s="5"/>
      <c r="LDZ67" s="5"/>
      <c r="LEA67" s="5"/>
      <c r="LEB67" s="5"/>
      <c r="LEC67" s="5"/>
      <c r="LED67" s="5"/>
      <c r="LEE67" s="5"/>
      <c r="LEF67" s="5"/>
      <c r="LEG67" s="5"/>
      <c r="LEH67" s="5"/>
      <c r="LEI67" s="5"/>
      <c r="LEJ67" s="5"/>
      <c r="LEK67" s="5"/>
      <c r="LEL67" s="5"/>
      <c r="LEM67" s="5"/>
      <c r="LEN67" s="5"/>
      <c r="LEO67" s="5"/>
      <c r="LEP67" s="5"/>
      <c r="LEQ67" s="5"/>
      <c r="LER67" s="5"/>
      <c r="LES67" s="5"/>
      <c r="LET67" s="5"/>
      <c r="LEU67" s="5"/>
      <c r="LEV67" s="5"/>
      <c r="LEW67" s="5"/>
      <c r="LEX67" s="5"/>
      <c r="LEY67" s="5"/>
      <c r="LEZ67" s="5"/>
      <c r="LFA67" s="5"/>
      <c r="LFB67" s="5"/>
      <c r="LFC67" s="5"/>
      <c r="LFD67" s="5"/>
      <c r="LFE67" s="5"/>
      <c r="LFF67" s="5"/>
      <c r="LFG67" s="5"/>
      <c r="LFH67" s="5"/>
      <c r="LFI67" s="5"/>
      <c r="LFJ67" s="5"/>
      <c r="LFK67" s="5"/>
      <c r="LFL67" s="5"/>
      <c r="LFM67" s="5"/>
      <c r="LFN67" s="5"/>
      <c r="LFO67" s="5"/>
      <c r="LFP67" s="5"/>
      <c r="LFQ67" s="5"/>
      <c r="LFR67" s="5"/>
      <c r="LFS67" s="5"/>
      <c r="LFT67" s="5"/>
      <c r="LFU67" s="5"/>
      <c r="LFV67" s="5"/>
      <c r="LFW67" s="5"/>
      <c r="LFX67" s="5"/>
      <c r="LFY67" s="5"/>
      <c r="LFZ67" s="5"/>
      <c r="LGA67" s="5"/>
      <c r="LGB67" s="5"/>
      <c r="LGC67" s="5"/>
      <c r="LGD67" s="5"/>
      <c r="LGE67" s="5"/>
      <c r="LGF67" s="5"/>
      <c r="LGG67" s="5"/>
      <c r="LGH67" s="5"/>
      <c r="LGI67" s="5"/>
      <c r="LGJ67" s="5"/>
      <c r="LGK67" s="5"/>
      <c r="LGL67" s="5"/>
      <c r="LGM67" s="5"/>
      <c r="LGN67" s="5"/>
      <c r="LGO67" s="5"/>
      <c r="LGP67" s="5"/>
      <c r="LGQ67" s="5"/>
      <c r="LGR67" s="5"/>
      <c r="LGS67" s="5"/>
      <c r="LGT67" s="5"/>
      <c r="LGU67" s="5"/>
      <c r="LGV67" s="5"/>
      <c r="LGW67" s="5"/>
      <c r="LGX67" s="5"/>
      <c r="LGY67" s="5"/>
      <c r="LGZ67" s="5"/>
      <c r="LHA67" s="5"/>
      <c r="LHB67" s="5"/>
      <c r="LHC67" s="5"/>
      <c r="LHD67" s="5"/>
      <c r="LHE67" s="5"/>
      <c r="LHF67" s="5"/>
      <c r="LHG67" s="5"/>
      <c r="LHH67" s="5"/>
      <c r="LHI67" s="5"/>
      <c r="LHJ67" s="5"/>
      <c r="LHK67" s="5"/>
      <c r="LHL67" s="5"/>
      <c r="LHM67" s="5"/>
      <c r="LHN67" s="5"/>
      <c r="LHO67" s="5"/>
      <c r="LHP67" s="5"/>
      <c r="LHQ67" s="5"/>
      <c r="LHR67" s="5"/>
      <c r="LHS67" s="5"/>
      <c r="LHT67" s="5"/>
      <c r="LHU67" s="5"/>
      <c r="LHV67" s="5"/>
      <c r="LHW67" s="5"/>
      <c r="LHX67" s="5"/>
      <c r="LHY67" s="5"/>
      <c r="LHZ67" s="5"/>
      <c r="LIA67" s="5"/>
      <c r="LIB67" s="5"/>
      <c r="LIC67" s="5"/>
      <c r="LID67" s="5"/>
      <c r="LIE67" s="5"/>
      <c r="LIF67" s="5"/>
      <c r="LIG67" s="5"/>
      <c r="LIH67" s="5"/>
      <c r="LII67" s="5"/>
      <c r="LIJ67" s="5"/>
      <c r="LIK67" s="5"/>
      <c r="LIL67" s="5"/>
      <c r="LIM67" s="5"/>
      <c r="LIN67" s="5"/>
      <c r="LIO67" s="5"/>
      <c r="LIP67" s="5"/>
      <c r="LIQ67" s="5"/>
      <c r="LIR67" s="5"/>
      <c r="LIS67" s="5"/>
      <c r="LIT67" s="5"/>
      <c r="LIU67" s="5"/>
      <c r="LIV67" s="5"/>
      <c r="LIW67" s="5"/>
      <c r="LIX67" s="5"/>
      <c r="LIY67" s="5"/>
      <c r="LIZ67" s="5"/>
      <c r="LJA67" s="5"/>
      <c r="LJB67" s="5"/>
      <c r="LJC67" s="5"/>
      <c r="LJD67" s="5"/>
      <c r="LJE67" s="5"/>
      <c r="LJF67" s="5"/>
      <c r="LJG67" s="5"/>
      <c r="LJH67" s="5"/>
      <c r="LJI67" s="5"/>
      <c r="LJJ67" s="5"/>
      <c r="LJK67" s="5"/>
      <c r="LJL67" s="5"/>
      <c r="LJM67" s="5"/>
      <c r="LJN67" s="5"/>
      <c r="LJO67" s="5"/>
      <c r="LJP67" s="5"/>
      <c r="LJQ67" s="5"/>
      <c r="LJR67" s="5"/>
      <c r="LJS67" s="5"/>
      <c r="LJT67" s="5"/>
      <c r="LJU67" s="5"/>
      <c r="LJV67" s="5"/>
      <c r="LJW67" s="5"/>
      <c r="LJX67" s="5"/>
      <c r="LJY67" s="5"/>
      <c r="LJZ67" s="5"/>
      <c r="LKA67" s="5"/>
      <c r="LKB67" s="5"/>
      <c r="LKC67" s="5"/>
      <c r="LKD67" s="5"/>
      <c r="LKE67" s="5"/>
      <c r="LKF67" s="5"/>
      <c r="LKG67" s="5"/>
      <c r="LKH67" s="5"/>
      <c r="LKI67" s="5"/>
      <c r="LKJ67" s="5"/>
      <c r="LKK67" s="5"/>
      <c r="LKL67" s="5"/>
      <c r="LKM67" s="5"/>
      <c r="LKN67" s="5"/>
      <c r="LKO67" s="5"/>
      <c r="LKP67" s="5"/>
      <c r="LKQ67" s="5"/>
      <c r="LKR67" s="5"/>
      <c r="LKS67" s="5"/>
      <c r="LKT67" s="5"/>
      <c r="LKU67" s="5"/>
      <c r="LKV67" s="5"/>
      <c r="LKW67" s="5"/>
      <c r="LKX67" s="5"/>
      <c r="LKY67" s="5"/>
      <c r="LKZ67" s="5"/>
      <c r="LLA67" s="5"/>
      <c r="LLB67" s="5"/>
      <c r="LLC67" s="5"/>
      <c r="LLD67" s="5"/>
      <c r="LLE67" s="5"/>
      <c r="LLF67" s="5"/>
      <c r="LLG67" s="5"/>
      <c r="LLH67" s="5"/>
      <c r="LLI67" s="5"/>
      <c r="LLJ67" s="5"/>
      <c r="LLK67" s="5"/>
      <c r="LLL67" s="5"/>
      <c r="LLM67" s="5"/>
      <c r="LLN67" s="5"/>
      <c r="LLO67" s="5"/>
      <c r="LLP67" s="5"/>
      <c r="LLQ67" s="5"/>
      <c r="LLR67" s="5"/>
      <c r="LLS67" s="5"/>
      <c r="LLT67" s="5"/>
      <c r="LLU67" s="5"/>
      <c r="LLV67" s="5"/>
      <c r="LLW67" s="5"/>
      <c r="LLX67" s="5"/>
      <c r="LLY67" s="5"/>
      <c r="LLZ67" s="5"/>
      <c r="LMA67" s="5"/>
      <c r="LMB67" s="5"/>
      <c r="LMC67" s="5"/>
      <c r="LMD67" s="5"/>
      <c r="LME67" s="5"/>
      <c r="LMF67" s="5"/>
      <c r="LMG67" s="5"/>
      <c r="LMH67" s="5"/>
      <c r="LMI67" s="5"/>
      <c r="LMJ67" s="5"/>
      <c r="LMK67" s="5"/>
      <c r="LML67" s="5"/>
      <c r="LMM67" s="5"/>
      <c r="LMN67" s="5"/>
      <c r="LMO67" s="5"/>
      <c r="LMP67" s="5"/>
      <c r="LMQ67" s="5"/>
      <c r="LMR67" s="5"/>
      <c r="LMS67" s="5"/>
      <c r="LMT67" s="5"/>
      <c r="LMU67" s="5"/>
      <c r="LMV67" s="5"/>
      <c r="LMW67" s="5"/>
      <c r="LMX67" s="5"/>
      <c r="LMY67" s="5"/>
      <c r="LMZ67" s="5"/>
      <c r="LNA67" s="5"/>
      <c r="LNB67" s="5"/>
      <c r="LNC67" s="5"/>
      <c r="LND67" s="5"/>
      <c r="LNE67" s="5"/>
      <c r="LNF67" s="5"/>
      <c r="LNG67" s="5"/>
      <c r="LNH67" s="5"/>
      <c r="LNI67" s="5"/>
      <c r="LNJ67" s="5"/>
      <c r="LNK67" s="5"/>
      <c r="LNL67" s="5"/>
      <c r="LNM67" s="5"/>
      <c r="LNN67" s="5"/>
      <c r="LNO67" s="5"/>
      <c r="LNP67" s="5"/>
      <c r="LNQ67" s="5"/>
      <c r="LNR67" s="5"/>
      <c r="LNS67" s="5"/>
      <c r="LNT67" s="5"/>
      <c r="LNU67" s="5"/>
      <c r="LNV67" s="5"/>
      <c r="LNW67" s="5"/>
      <c r="LNX67" s="5"/>
      <c r="LNY67" s="5"/>
      <c r="LNZ67" s="5"/>
      <c r="LOA67" s="5"/>
      <c r="LOB67" s="5"/>
      <c r="LOC67" s="5"/>
      <c r="LOD67" s="5"/>
      <c r="LOE67" s="5"/>
      <c r="LOF67" s="5"/>
      <c r="LOG67" s="5"/>
      <c r="LOH67" s="5"/>
      <c r="LOI67" s="5"/>
      <c r="LOJ67" s="5"/>
      <c r="LOK67" s="5"/>
      <c r="LOL67" s="5"/>
      <c r="LOM67" s="5"/>
      <c r="LON67" s="5"/>
      <c r="LOO67" s="5"/>
      <c r="LOP67" s="5"/>
      <c r="LOQ67" s="5"/>
      <c r="LOR67" s="5"/>
      <c r="LOS67" s="5"/>
      <c r="LOT67" s="5"/>
      <c r="LOU67" s="5"/>
      <c r="LOV67" s="5"/>
      <c r="LOW67" s="5"/>
      <c r="LOX67" s="5"/>
      <c r="LOY67" s="5"/>
      <c r="LOZ67" s="5"/>
      <c r="LPA67" s="5"/>
      <c r="LPB67" s="5"/>
      <c r="LPC67" s="5"/>
      <c r="LPD67" s="5"/>
      <c r="LPE67" s="5"/>
      <c r="LPF67" s="5"/>
      <c r="LPG67" s="5"/>
      <c r="LPH67" s="5"/>
      <c r="LPI67" s="5"/>
      <c r="LPJ67" s="5"/>
      <c r="LPK67" s="5"/>
      <c r="LPL67" s="5"/>
      <c r="LPM67" s="5"/>
      <c r="LPN67" s="5"/>
      <c r="LPO67" s="5"/>
      <c r="LPP67" s="5"/>
      <c r="LPQ67" s="5"/>
      <c r="LPR67" s="5"/>
      <c r="LPS67" s="5"/>
      <c r="LPT67" s="5"/>
      <c r="LPU67" s="5"/>
      <c r="LPV67" s="5"/>
      <c r="LPW67" s="5"/>
      <c r="LPX67" s="5"/>
      <c r="LPY67" s="5"/>
      <c r="LPZ67" s="5"/>
      <c r="LQA67" s="5"/>
      <c r="LQB67" s="5"/>
      <c r="LQC67" s="5"/>
      <c r="LQD67" s="5"/>
      <c r="LQE67" s="5"/>
      <c r="LQF67" s="5"/>
      <c r="LQG67" s="5"/>
      <c r="LQH67" s="5"/>
      <c r="LQI67" s="5"/>
      <c r="LQJ67" s="5"/>
      <c r="LQK67" s="5"/>
      <c r="LQL67" s="5"/>
      <c r="LQM67" s="5"/>
      <c r="LQN67" s="5"/>
      <c r="LQO67" s="5"/>
      <c r="LQP67" s="5"/>
      <c r="LQQ67" s="5"/>
      <c r="LQR67" s="5"/>
      <c r="LQS67" s="5"/>
      <c r="LQT67" s="5"/>
      <c r="LQU67" s="5"/>
      <c r="LQV67" s="5"/>
      <c r="LQW67" s="5"/>
      <c r="LQX67" s="5"/>
      <c r="LQY67" s="5"/>
      <c r="LQZ67" s="5"/>
      <c r="LRA67" s="5"/>
      <c r="LRB67" s="5"/>
      <c r="LRC67" s="5"/>
      <c r="LRD67" s="5"/>
      <c r="LRE67" s="5"/>
      <c r="LRF67" s="5"/>
      <c r="LRG67" s="5"/>
      <c r="LRH67" s="5"/>
      <c r="LRI67" s="5"/>
      <c r="LRJ67" s="5"/>
      <c r="LRK67" s="5"/>
      <c r="LRL67" s="5"/>
      <c r="LRM67" s="5"/>
      <c r="LRN67" s="5"/>
      <c r="LRO67" s="5"/>
      <c r="LRP67" s="5"/>
      <c r="LRQ67" s="5"/>
      <c r="LRR67" s="5"/>
      <c r="LRS67" s="5"/>
      <c r="LRT67" s="5"/>
      <c r="LRU67" s="5"/>
      <c r="LRV67" s="5"/>
      <c r="LRW67" s="5"/>
      <c r="LRX67" s="5"/>
      <c r="LRY67" s="5"/>
      <c r="LRZ67" s="5"/>
      <c r="LSA67" s="5"/>
      <c r="LSB67" s="5"/>
      <c r="LSC67" s="5"/>
      <c r="LSD67" s="5"/>
      <c r="LSE67" s="5"/>
      <c r="LSF67" s="5"/>
      <c r="LSG67" s="5"/>
      <c r="LSH67" s="5"/>
      <c r="LSI67" s="5"/>
      <c r="LSJ67" s="5"/>
      <c r="LSK67" s="5"/>
      <c r="LSL67" s="5"/>
      <c r="LSM67" s="5"/>
      <c r="LSN67" s="5"/>
      <c r="LSO67" s="5"/>
      <c r="LSP67" s="5"/>
      <c r="LSQ67" s="5"/>
      <c r="LSR67" s="5"/>
      <c r="LSS67" s="5"/>
      <c r="LST67" s="5"/>
      <c r="LSU67" s="5"/>
      <c r="LSV67" s="5"/>
      <c r="LSW67" s="5"/>
      <c r="LSX67" s="5"/>
      <c r="LSY67" s="5"/>
      <c r="LSZ67" s="5"/>
      <c r="LTA67" s="5"/>
      <c r="LTB67" s="5"/>
      <c r="LTC67" s="5"/>
      <c r="LTD67" s="5"/>
      <c r="LTE67" s="5"/>
      <c r="LTF67" s="5"/>
      <c r="LTG67" s="5"/>
      <c r="LTH67" s="5"/>
      <c r="LTI67" s="5"/>
      <c r="LTJ67" s="5"/>
      <c r="LTK67" s="5"/>
      <c r="LTL67" s="5"/>
      <c r="LTM67" s="5"/>
      <c r="LTN67" s="5"/>
      <c r="LTO67" s="5"/>
      <c r="LTP67" s="5"/>
      <c r="LTQ67" s="5"/>
      <c r="LTR67" s="5"/>
      <c r="LTS67" s="5"/>
      <c r="LTT67" s="5"/>
      <c r="LTU67" s="5"/>
      <c r="LTV67" s="5"/>
      <c r="LTW67" s="5"/>
      <c r="LTX67" s="5"/>
      <c r="LTY67" s="5"/>
      <c r="LTZ67" s="5"/>
      <c r="LUA67" s="5"/>
      <c r="LUB67" s="5"/>
      <c r="LUC67" s="5"/>
      <c r="LUD67" s="5"/>
      <c r="LUE67" s="5"/>
      <c r="LUF67" s="5"/>
      <c r="LUG67" s="5"/>
      <c r="LUH67" s="5"/>
      <c r="LUI67" s="5"/>
      <c r="LUJ67" s="5"/>
      <c r="LUK67" s="5"/>
      <c r="LUL67" s="5"/>
      <c r="LUM67" s="5"/>
      <c r="LUN67" s="5"/>
      <c r="LUO67" s="5"/>
      <c r="LUP67" s="5"/>
      <c r="LUQ67" s="5"/>
      <c r="LUR67" s="5"/>
      <c r="LUS67" s="5"/>
      <c r="LUT67" s="5"/>
      <c r="LUU67" s="5"/>
      <c r="LUV67" s="5"/>
      <c r="LUW67" s="5"/>
      <c r="LUX67" s="5"/>
      <c r="LUY67" s="5"/>
      <c r="LUZ67" s="5"/>
      <c r="LVA67" s="5"/>
      <c r="LVB67" s="5"/>
      <c r="LVC67" s="5"/>
      <c r="LVD67" s="5"/>
      <c r="LVE67" s="5"/>
      <c r="LVF67" s="5"/>
      <c r="LVG67" s="5"/>
      <c r="LVH67" s="5"/>
      <c r="LVI67" s="5"/>
      <c r="LVJ67" s="5"/>
      <c r="LVK67" s="5"/>
      <c r="LVL67" s="5"/>
      <c r="LVM67" s="5"/>
      <c r="LVN67" s="5"/>
      <c r="LVO67" s="5"/>
      <c r="LVP67" s="5"/>
      <c r="LVQ67" s="5"/>
      <c r="LVR67" s="5"/>
      <c r="LVS67" s="5"/>
      <c r="LVT67" s="5"/>
      <c r="LVU67" s="5"/>
      <c r="LVV67" s="5"/>
      <c r="LVW67" s="5"/>
      <c r="LVX67" s="5"/>
      <c r="LVY67" s="5"/>
      <c r="LVZ67" s="5"/>
      <c r="LWA67" s="5"/>
      <c r="LWB67" s="5"/>
      <c r="LWC67" s="5"/>
      <c r="LWD67" s="5"/>
      <c r="LWE67" s="5"/>
      <c r="LWF67" s="5"/>
      <c r="LWG67" s="5"/>
      <c r="LWH67" s="5"/>
      <c r="LWI67" s="5"/>
      <c r="LWJ67" s="5"/>
      <c r="LWK67" s="5"/>
      <c r="LWL67" s="5"/>
      <c r="LWM67" s="5"/>
      <c r="LWN67" s="5"/>
      <c r="LWO67" s="5"/>
      <c r="LWP67" s="5"/>
      <c r="LWQ67" s="5"/>
      <c r="LWR67" s="5"/>
      <c r="LWS67" s="5"/>
      <c r="LWT67" s="5"/>
      <c r="LWU67" s="5"/>
      <c r="LWV67" s="5"/>
      <c r="LWW67" s="5"/>
      <c r="LWX67" s="5"/>
      <c r="LWY67" s="5"/>
      <c r="LWZ67" s="5"/>
      <c r="LXA67" s="5"/>
      <c r="LXB67" s="5"/>
      <c r="LXC67" s="5"/>
      <c r="LXD67" s="5"/>
      <c r="LXE67" s="5"/>
      <c r="LXF67" s="5"/>
      <c r="LXG67" s="5"/>
      <c r="LXH67" s="5"/>
      <c r="LXI67" s="5"/>
      <c r="LXJ67" s="5"/>
      <c r="LXK67" s="5"/>
      <c r="LXL67" s="5"/>
      <c r="LXM67" s="5"/>
      <c r="LXN67" s="5"/>
      <c r="LXO67" s="5"/>
      <c r="LXP67" s="5"/>
      <c r="LXQ67" s="5"/>
      <c r="LXR67" s="5"/>
      <c r="LXS67" s="5"/>
      <c r="LXT67" s="5"/>
      <c r="LXU67" s="5"/>
      <c r="LXV67" s="5"/>
      <c r="LXW67" s="5"/>
      <c r="LXX67" s="5"/>
      <c r="LXY67" s="5"/>
      <c r="LXZ67" s="5"/>
      <c r="LYA67" s="5"/>
      <c r="LYB67" s="5"/>
      <c r="LYC67" s="5"/>
      <c r="LYD67" s="5"/>
      <c r="LYE67" s="5"/>
      <c r="LYF67" s="5"/>
      <c r="LYG67" s="5"/>
      <c r="LYH67" s="5"/>
      <c r="LYI67" s="5"/>
      <c r="LYJ67" s="5"/>
      <c r="LYK67" s="5"/>
      <c r="LYL67" s="5"/>
      <c r="LYM67" s="5"/>
      <c r="LYN67" s="5"/>
      <c r="LYO67" s="5"/>
      <c r="LYP67" s="5"/>
      <c r="LYQ67" s="5"/>
      <c r="LYR67" s="5"/>
      <c r="LYS67" s="5"/>
      <c r="LYT67" s="5"/>
      <c r="LYU67" s="5"/>
      <c r="LYV67" s="5"/>
      <c r="LYW67" s="5"/>
      <c r="LYX67" s="5"/>
      <c r="LYY67" s="5"/>
      <c r="LYZ67" s="5"/>
      <c r="LZA67" s="5"/>
      <c r="LZB67" s="5"/>
      <c r="LZC67" s="5"/>
      <c r="LZD67" s="5"/>
      <c r="LZE67" s="5"/>
      <c r="LZF67" s="5"/>
      <c r="LZG67" s="5"/>
      <c r="LZH67" s="5"/>
      <c r="LZI67" s="5"/>
      <c r="LZJ67" s="5"/>
      <c r="LZK67" s="5"/>
      <c r="LZL67" s="5"/>
      <c r="LZM67" s="5"/>
      <c r="LZN67" s="5"/>
      <c r="LZO67" s="5"/>
      <c r="LZP67" s="5"/>
      <c r="LZQ67" s="5"/>
      <c r="LZR67" s="5"/>
      <c r="LZS67" s="5"/>
      <c r="LZT67" s="5"/>
      <c r="LZU67" s="5"/>
      <c r="LZV67" s="5"/>
      <c r="LZW67" s="5"/>
      <c r="LZX67" s="5"/>
      <c r="LZY67" s="5"/>
      <c r="LZZ67" s="5"/>
      <c r="MAA67" s="5"/>
      <c r="MAB67" s="5"/>
      <c r="MAC67" s="5"/>
      <c r="MAD67" s="5"/>
      <c r="MAE67" s="5"/>
      <c r="MAF67" s="5"/>
      <c r="MAG67" s="5"/>
      <c r="MAH67" s="5"/>
      <c r="MAI67" s="5"/>
      <c r="MAJ67" s="5"/>
      <c r="MAK67" s="5"/>
      <c r="MAL67" s="5"/>
      <c r="MAM67" s="5"/>
      <c r="MAN67" s="5"/>
      <c r="MAO67" s="5"/>
      <c r="MAP67" s="5"/>
      <c r="MAQ67" s="5"/>
      <c r="MAR67" s="5"/>
      <c r="MAS67" s="5"/>
      <c r="MAT67" s="5"/>
      <c r="MAU67" s="5"/>
      <c r="MAV67" s="5"/>
      <c r="MAW67" s="5"/>
      <c r="MAX67" s="5"/>
      <c r="MAY67" s="5"/>
      <c r="MAZ67" s="5"/>
      <c r="MBA67" s="5"/>
      <c r="MBB67" s="5"/>
      <c r="MBC67" s="5"/>
      <c r="MBD67" s="5"/>
      <c r="MBE67" s="5"/>
      <c r="MBF67" s="5"/>
      <c r="MBG67" s="5"/>
      <c r="MBH67" s="5"/>
      <c r="MBI67" s="5"/>
      <c r="MBJ67" s="5"/>
      <c r="MBK67" s="5"/>
      <c r="MBL67" s="5"/>
      <c r="MBM67" s="5"/>
      <c r="MBN67" s="5"/>
      <c r="MBO67" s="5"/>
      <c r="MBP67" s="5"/>
      <c r="MBQ67" s="5"/>
      <c r="MBR67" s="5"/>
      <c r="MBS67" s="5"/>
      <c r="MBT67" s="5"/>
      <c r="MBU67" s="5"/>
      <c r="MBV67" s="5"/>
      <c r="MBW67" s="5"/>
      <c r="MBX67" s="5"/>
      <c r="MBY67" s="5"/>
      <c r="MBZ67" s="5"/>
      <c r="MCA67" s="5"/>
      <c r="MCB67" s="5"/>
      <c r="MCC67" s="5"/>
      <c r="MCD67" s="5"/>
      <c r="MCE67" s="5"/>
      <c r="MCF67" s="5"/>
      <c r="MCG67" s="5"/>
      <c r="MCH67" s="5"/>
      <c r="MCI67" s="5"/>
      <c r="MCJ67" s="5"/>
      <c r="MCK67" s="5"/>
      <c r="MCL67" s="5"/>
      <c r="MCM67" s="5"/>
      <c r="MCN67" s="5"/>
      <c r="MCO67" s="5"/>
      <c r="MCP67" s="5"/>
      <c r="MCQ67" s="5"/>
      <c r="MCR67" s="5"/>
      <c r="MCS67" s="5"/>
      <c r="MCT67" s="5"/>
      <c r="MCU67" s="5"/>
      <c r="MCV67" s="5"/>
      <c r="MCW67" s="5"/>
      <c r="MCX67" s="5"/>
      <c r="MCY67" s="5"/>
      <c r="MCZ67" s="5"/>
      <c r="MDA67" s="5"/>
      <c r="MDB67" s="5"/>
      <c r="MDC67" s="5"/>
      <c r="MDD67" s="5"/>
      <c r="MDE67" s="5"/>
      <c r="MDF67" s="5"/>
      <c r="MDG67" s="5"/>
      <c r="MDH67" s="5"/>
      <c r="MDI67" s="5"/>
      <c r="MDJ67" s="5"/>
      <c r="MDK67" s="5"/>
      <c r="MDL67" s="5"/>
      <c r="MDM67" s="5"/>
      <c r="MDN67" s="5"/>
      <c r="MDO67" s="5"/>
      <c r="MDP67" s="5"/>
      <c r="MDQ67" s="5"/>
      <c r="MDR67" s="5"/>
      <c r="MDS67" s="5"/>
      <c r="MDT67" s="5"/>
      <c r="MDU67" s="5"/>
      <c r="MDV67" s="5"/>
      <c r="MDW67" s="5"/>
      <c r="MDX67" s="5"/>
      <c r="MDY67" s="5"/>
      <c r="MDZ67" s="5"/>
      <c r="MEA67" s="5"/>
      <c r="MEB67" s="5"/>
      <c r="MEC67" s="5"/>
      <c r="MED67" s="5"/>
      <c r="MEE67" s="5"/>
      <c r="MEF67" s="5"/>
      <c r="MEG67" s="5"/>
      <c r="MEH67" s="5"/>
      <c r="MEI67" s="5"/>
      <c r="MEJ67" s="5"/>
      <c r="MEK67" s="5"/>
      <c r="MEL67" s="5"/>
      <c r="MEM67" s="5"/>
      <c r="MEN67" s="5"/>
      <c r="MEO67" s="5"/>
      <c r="MEP67" s="5"/>
      <c r="MEQ67" s="5"/>
      <c r="MER67" s="5"/>
      <c r="MES67" s="5"/>
      <c r="MET67" s="5"/>
      <c r="MEU67" s="5"/>
      <c r="MEV67" s="5"/>
      <c r="MEW67" s="5"/>
      <c r="MEX67" s="5"/>
      <c r="MEY67" s="5"/>
      <c r="MEZ67" s="5"/>
      <c r="MFA67" s="5"/>
      <c r="MFB67" s="5"/>
      <c r="MFC67" s="5"/>
      <c r="MFD67" s="5"/>
      <c r="MFE67" s="5"/>
      <c r="MFF67" s="5"/>
      <c r="MFG67" s="5"/>
      <c r="MFH67" s="5"/>
      <c r="MFI67" s="5"/>
      <c r="MFJ67" s="5"/>
      <c r="MFK67" s="5"/>
      <c r="MFL67" s="5"/>
      <c r="MFM67" s="5"/>
      <c r="MFN67" s="5"/>
      <c r="MFO67" s="5"/>
      <c r="MFP67" s="5"/>
      <c r="MFQ67" s="5"/>
      <c r="MFR67" s="5"/>
      <c r="MFS67" s="5"/>
      <c r="MFT67" s="5"/>
      <c r="MFU67" s="5"/>
      <c r="MFV67" s="5"/>
      <c r="MFW67" s="5"/>
      <c r="MFX67" s="5"/>
      <c r="MFY67" s="5"/>
      <c r="MFZ67" s="5"/>
      <c r="MGA67" s="5"/>
      <c r="MGB67" s="5"/>
      <c r="MGC67" s="5"/>
      <c r="MGD67" s="5"/>
      <c r="MGE67" s="5"/>
      <c r="MGF67" s="5"/>
      <c r="MGG67" s="5"/>
      <c r="MGH67" s="5"/>
      <c r="MGI67" s="5"/>
      <c r="MGJ67" s="5"/>
      <c r="MGK67" s="5"/>
      <c r="MGL67" s="5"/>
      <c r="MGM67" s="5"/>
      <c r="MGN67" s="5"/>
      <c r="MGO67" s="5"/>
      <c r="MGP67" s="5"/>
      <c r="MGQ67" s="5"/>
      <c r="MGR67" s="5"/>
      <c r="MGS67" s="5"/>
      <c r="MGT67" s="5"/>
      <c r="MGU67" s="5"/>
      <c r="MGV67" s="5"/>
      <c r="MGW67" s="5"/>
      <c r="MGX67" s="5"/>
      <c r="MGY67" s="5"/>
      <c r="MGZ67" s="5"/>
      <c r="MHA67" s="5"/>
      <c r="MHB67" s="5"/>
      <c r="MHC67" s="5"/>
      <c r="MHD67" s="5"/>
      <c r="MHE67" s="5"/>
      <c r="MHF67" s="5"/>
      <c r="MHG67" s="5"/>
      <c r="MHH67" s="5"/>
      <c r="MHI67" s="5"/>
      <c r="MHJ67" s="5"/>
      <c r="MHK67" s="5"/>
      <c r="MHL67" s="5"/>
      <c r="MHM67" s="5"/>
      <c r="MHN67" s="5"/>
      <c r="MHO67" s="5"/>
      <c r="MHP67" s="5"/>
      <c r="MHQ67" s="5"/>
      <c r="MHR67" s="5"/>
      <c r="MHS67" s="5"/>
      <c r="MHT67" s="5"/>
      <c r="MHU67" s="5"/>
      <c r="MHV67" s="5"/>
      <c r="MHW67" s="5"/>
      <c r="MHX67" s="5"/>
      <c r="MHY67" s="5"/>
      <c r="MHZ67" s="5"/>
      <c r="MIA67" s="5"/>
      <c r="MIB67" s="5"/>
      <c r="MIC67" s="5"/>
      <c r="MID67" s="5"/>
      <c r="MIE67" s="5"/>
      <c r="MIF67" s="5"/>
      <c r="MIG67" s="5"/>
      <c r="MIH67" s="5"/>
      <c r="MII67" s="5"/>
      <c r="MIJ67" s="5"/>
      <c r="MIK67" s="5"/>
      <c r="MIL67" s="5"/>
      <c r="MIM67" s="5"/>
      <c r="MIN67" s="5"/>
      <c r="MIO67" s="5"/>
      <c r="MIP67" s="5"/>
      <c r="MIQ67" s="5"/>
      <c r="MIR67" s="5"/>
      <c r="MIS67" s="5"/>
      <c r="MIT67" s="5"/>
      <c r="MIU67" s="5"/>
      <c r="MIV67" s="5"/>
      <c r="MIW67" s="5"/>
      <c r="MIX67" s="5"/>
      <c r="MIY67" s="5"/>
      <c r="MIZ67" s="5"/>
      <c r="MJA67" s="5"/>
      <c r="MJB67" s="5"/>
      <c r="MJC67" s="5"/>
      <c r="MJD67" s="5"/>
      <c r="MJE67" s="5"/>
      <c r="MJF67" s="5"/>
      <c r="MJG67" s="5"/>
      <c r="MJH67" s="5"/>
      <c r="MJI67" s="5"/>
      <c r="MJJ67" s="5"/>
      <c r="MJK67" s="5"/>
      <c r="MJL67" s="5"/>
      <c r="MJM67" s="5"/>
      <c r="MJN67" s="5"/>
      <c r="MJO67" s="5"/>
      <c r="MJP67" s="5"/>
      <c r="MJQ67" s="5"/>
      <c r="MJR67" s="5"/>
      <c r="MJS67" s="5"/>
      <c r="MJT67" s="5"/>
      <c r="MJU67" s="5"/>
      <c r="MJV67" s="5"/>
      <c r="MJW67" s="5"/>
      <c r="MJX67" s="5"/>
      <c r="MJY67" s="5"/>
      <c r="MJZ67" s="5"/>
      <c r="MKA67" s="5"/>
      <c r="MKB67" s="5"/>
      <c r="MKC67" s="5"/>
      <c r="MKD67" s="5"/>
      <c r="MKE67" s="5"/>
      <c r="MKF67" s="5"/>
      <c r="MKG67" s="5"/>
      <c r="MKH67" s="5"/>
      <c r="MKI67" s="5"/>
      <c r="MKJ67" s="5"/>
      <c r="MKK67" s="5"/>
      <c r="MKL67" s="5"/>
      <c r="MKM67" s="5"/>
      <c r="MKN67" s="5"/>
      <c r="MKO67" s="5"/>
      <c r="MKP67" s="5"/>
      <c r="MKQ67" s="5"/>
      <c r="MKR67" s="5"/>
      <c r="MKS67" s="5"/>
      <c r="MKT67" s="5"/>
      <c r="MKU67" s="5"/>
      <c r="MKV67" s="5"/>
      <c r="MKW67" s="5"/>
      <c r="MKX67" s="5"/>
      <c r="MKY67" s="5"/>
      <c r="MKZ67" s="5"/>
      <c r="MLA67" s="5"/>
      <c r="MLB67" s="5"/>
      <c r="MLC67" s="5"/>
      <c r="MLD67" s="5"/>
      <c r="MLE67" s="5"/>
      <c r="MLF67" s="5"/>
      <c r="MLG67" s="5"/>
      <c r="MLH67" s="5"/>
      <c r="MLI67" s="5"/>
      <c r="MLJ67" s="5"/>
      <c r="MLK67" s="5"/>
      <c r="MLL67" s="5"/>
      <c r="MLM67" s="5"/>
      <c r="MLN67" s="5"/>
      <c r="MLO67" s="5"/>
      <c r="MLP67" s="5"/>
      <c r="MLQ67" s="5"/>
      <c r="MLR67" s="5"/>
      <c r="MLS67" s="5"/>
      <c r="MLT67" s="5"/>
      <c r="MLU67" s="5"/>
      <c r="MLV67" s="5"/>
      <c r="MLW67" s="5"/>
      <c r="MLX67" s="5"/>
      <c r="MLY67" s="5"/>
      <c r="MLZ67" s="5"/>
      <c r="MMA67" s="5"/>
      <c r="MMB67" s="5"/>
      <c r="MMC67" s="5"/>
      <c r="MMD67" s="5"/>
      <c r="MME67" s="5"/>
      <c r="MMF67" s="5"/>
      <c r="MMG67" s="5"/>
      <c r="MMH67" s="5"/>
      <c r="MMI67" s="5"/>
      <c r="MMJ67" s="5"/>
      <c r="MMK67" s="5"/>
      <c r="MML67" s="5"/>
      <c r="MMM67" s="5"/>
      <c r="MMN67" s="5"/>
      <c r="MMO67" s="5"/>
      <c r="MMP67" s="5"/>
      <c r="MMQ67" s="5"/>
      <c r="MMR67" s="5"/>
      <c r="MMS67" s="5"/>
      <c r="MMT67" s="5"/>
      <c r="MMU67" s="5"/>
      <c r="MMV67" s="5"/>
      <c r="MMW67" s="5"/>
      <c r="MMX67" s="5"/>
      <c r="MMY67" s="5"/>
      <c r="MMZ67" s="5"/>
      <c r="MNA67" s="5"/>
      <c r="MNB67" s="5"/>
      <c r="MNC67" s="5"/>
      <c r="MND67" s="5"/>
      <c r="MNE67" s="5"/>
      <c r="MNF67" s="5"/>
      <c r="MNG67" s="5"/>
      <c r="MNH67" s="5"/>
      <c r="MNI67" s="5"/>
      <c r="MNJ67" s="5"/>
      <c r="MNK67" s="5"/>
      <c r="MNL67" s="5"/>
      <c r="MNM67" s="5"/>
      <c r="MNN67" s="5"/>
      <c r="MNO67" s="5"/>
      <c r="MNP67" s="5"/>
      <c r="MNQ67" s="5"/>
      <c r="MNR67" s="5"/>
      <c r="MNS67" s="5"/>
      <c r="MNT67" s="5"/>
      <c r="MNU67" s="5"/>
      <c r="MNV67" s="5"/>
      <c r="MNW67" s="5"/>
      <c r="MNX67" s="5"/>
      <c r="MNY67" s="5"/>
      <c r="MNZ67" s="5"/>
      <c r="MOA67" s="5"/>
      <c r="MOB67" s="5"/>
      <c r="MOC67" s="5"/>
      <c r="MOD67" s="5"/>
      <c r="MOE67" s="5"/>
      <c r="MOF67" s="5"/>
      <c r="MOG67" s="5"/>
      <c r="MOH67" s="5"/>
      <c r="MOI67" s="5"/>
      <c r="MOJ67" s="5"/>
      <c r="MOK67" s="5"/>
      <c r="MOL67" s="5"/>
      <c r="MOM67" s="5"/>
      <c r="MON67" s="5"/>
      <c r="MOO67" s="5"/>
      <c r="MOP67" s="5"/>
      <c r="MOQ67" s="5"/>
      <c r="MOR67" s="5"/>
      <c r="MOS67" s="5"/>
      <c r="MOT67" s="5"/>
      <c r="MOU67" s="5"/>
      <c r="MOV67" s="5"/>
      <c r="MOW67" s="5"/>
      <c r="MOX67" s="5"/>
      <c r="MOY67" s="5"/>
      <c r="MOZ67" s="5"/>
      <c r="MPA67" s="5"/>
      <c r="MPB67" s="5"/>
      <c r="MPC67" s="5"/>
      <c r="MPD67" s="5"/>
      <c r="MPE67" s="5"/>
      <c r="MPF67" s="5"/>
      <c r="MPG67" s="5"/>
      <c r="MPH67" s="5"/>
      <c r="MPI67" s="5"/>
      <c r="MPJ67" s="5"/>
      <c r="MPK67" s="5"/>
      <c r="MPL67" s="5"/>
      <c r="MPM67" s="5"/>
      <c r="MPN67" s="5"/>
      <c r="MPO67" s="5"/>
      <c r="MPP67" s="5"/>
      <c r="MPQ67" s="5"/>
      <c r="MPR67" s="5"/>
      <c r="MPS67" s="5"/>
      <c r="MPT67" s="5"/>
      <c r="MPU67" s="5"/>
      <c r="MPV67" s="5"/>
      <c r="MPW67" s="5"/>
      <c r="MPX67" s="5"/>
      <c r="MPY67" s="5"/>
      <c r="MPZ67" s="5"/>
      <c r="MQA67" s="5"/>
      <c r="MQB67" s="5"/>
      <c r="MQC67" s="5"/>
      <c r="MQD67" s="5"/>
      <c r="MQE67" s="5"/>
      <c r="MQF67" s="5"/>
      <c r="MQG67" s="5"/>
      <c r="MQH67" s="5"/>
      <c r="MQI67" s="5"/>
      <c r="MQJ67" s="5"/>
      <c r="MQK67" s="5"/>
      <c r="MQL67" s="5"/>
      <c r="MQM67" s="5"/>
      <c r="MQN67" s="5"/>
      <c r="MQO67" s="5"/>
      <c r="MQP67" s="5"/>
      <c r="MQQ67" s="5"/>
      <c r="MQR67" s="5"/>
      <c r="MQS67" s="5"/>
      <c r="MQT67" s="5"/>
      <c r="MQU67" s="5"/>
      <c r="MQV67" s="5"/>
      <c r="MQW67" s="5"/>
      <c r="MQX67" s="5"/>
      <c r="MQY67" s="5"/>
      <c r="MQZ67" s="5"/>
      <c r="MRA67" s="5"/>
      <c r="MRB67" s="5"/>
      <c r="MRC67" s="5"/>
      <c r="MRD67" s="5"/>
      <c r="MRE67" s="5"/>
      <c r="MRF67" s="5"/>
      <c r="MRG67" s="5"/>
      <c r="MRH67" s="5"/>
      <c r="MRI67" s="5"/>
      <c r="MRJ67" s="5"/>
      <c r="MRK67" s="5"/>
      <c r="MRL67" s="5"/>
      <c r="MRM67" s="5"/>
      <c r="MRN67" s="5"/>
      <c r="MRO67" s="5"/>
      <c r="MRP67" s="5"/>
      <c r="MRQ67" s="5"/>
      <c r="MRR67" s="5"/>
      <c r="MRS67" s="5"/>
      <c r="MRT67" s="5"/>
      <c r="MRU67" s="5"/>
      <c r="MRV67" s="5"/>
      <c r="MRW67" s="5"/>
      <c r="MRX67" s="5"/>
      <c r="MRY67" s="5"/>
      <c r="MRZ67" s="5"/>
      <c r="MSA67" s="5"/>
      <c r="MSB67" s="5"/>
      <c r="MSC67" s="5"/>
      <c r="MSD67" s="5"/>
      <c r="MSE67" s="5"/>
      <c r="MSF67" s="5"/>
      <c r="MSG67" s="5"/>
      <c r="MSH67" s="5"/>
      <c r="MSI67" s="5"/>
      <c r="MSJ67" s="5"/>
      <c r="MSK67" s="5"/>
      <c r="MSL67" s="5"/>
      <c r="MSM67" s="5"/>
      <c r="MSN67" s="5"/>
      <c r="MSO67" s="5"/>
      <c r="MSP67" s="5"/>
      <c r="MSQ67" s="5"/>
      <c r="MSR67" s="5"/>
      <c r="MSS67" s="5"/>
      <c r="MST67" s="5"/>
      <c r="MSU67" s="5"/>
      <c r="MSV67" s="5"/>
      <c r="MSW67" s="5"/>
      <c r="MSX67" s="5"/>
      <c r="MSY67" s="5"/>
      <c r="MSZ67" s="5"/>
      <c r="MTA67" s="5"/>
      <c r="MTB67" s="5"/>
      <c r="MTC67" s="5"/>
      <c r="MTD67" s="5"/>
      <c r="MTE67" s="5"/>
      <c r="MTF67" s="5"/>
      <c r="MTG67" s="5"/>
      <c r="MTH67" s="5"/>
      <c r="MTI67" s="5"/>
      <c r="MTJ67" s="5"/>
      <c r="MTK67" s="5"/>
      <c r="MTL67" s="5"/>
      <c r="MTM67" s="5"/>
      <c r="MTN67" s="5"/>
      <c r="MTO67" s="5"/>
      <c r="MTP67" s="5"/>
      <c r="MTQ67" s="5"/>
      <c r="MTR67" s="5"/>
      <c r="MTS67" s="5"/>
      <c r="MTT67" s="5"/>
      <c r="MTU67" s="5"/>
      <c r="MTV67" s="5"/>
      <c r="MTW67" s="5"/>
      <c r="MTX67" s="5"/>
      <c r="MTY67" s="5"/>
      <c r="MTZ67" s="5"/>
      <c r="MUA67" s="5"/>
      <c r="MUB67" s="5"/>
      <c r="MUC67" s="5"/>
      <c r="MUD67" s="5"/>
      <c r="MUE67" s="5"/>
      <c r="MUF67" s="5"/>
      <c r="MUG67" s="5"/>
      <c r="MUH67" s="5"/>
      <c r="MUI67" s="5"/>
      <c r="MUJ67" s="5"/>
      <c r="MUK67" s="5"/>
      <c r="MUL67" s="5"/>
      <c r="MUM67" s="5"/>
      <c r="MUN67" s="5"/>
      <c r="MUO67" s="5"/>
      <c r="MUP67" s="5"/>
      <c r="MUQ67" s="5"/>
      <c r="MUR67" s="5"/>
      <c r="MUS67" s="5"/>
      <c r="MUT67" s="5"/>
      <c r="MUU67" s="5"/>
      <c r="MUV67" s="5"/>
      <c r="MUW67" s="5"/>
      <c r="MUX67" s="5"/>
      <c r="MUY67" s="5"/>
      <c r="MUZ67" s="5"/>
      <c r="MVA67" s="5"/>
      <c r="MVB67" s="5"/>
      <c r="MVC67" s="5"/>
      <c r="MVD67" s="5"/>
      <c r="MVE67" s="5"/>
      <c r="MVF67" s="5"/>
      <c r="MVG67" s="5"/>
      <c r="MVH67" s="5"/>
      <c r="MVI67" s="5"/>
      <c r="MVJ67" s="5"/>
      <c r="MVK67" s="5"/>
      <c r="MVL67" s="5"/>
      <c r="MVM67" s="5"/>
      <c r="MVN67" s="5"/>
      <c r="MVO67" s="5"/>
      <c r="MVP67" s="5"/>
      <c r="MVQ67" s="5"/>
      <c r="MVR67" s="5"/>
      <c r="MVS67" s="5"/>
      <c r="MVT67" s="5"/>
      <c r="MVU67" s="5"/>
      <c r="MVV67" s="5"/>
      <c r="MVW67" s="5"/>
      <c r="MVX67" s="5"/>
      <c r="MVY67" s="5"/>
      <c r="MVZ67" s="5"/>
      <c r="MWA67" s="5"/>
      <c r="MWB67" s="5"/>
      <c r="MWC67" s="5"/>
      <c r="MWD67" s="5"/>
      <c r="MWE67" s="5"/>
      <c r="MWF67" s="5"/>
      <c r="MWG67" s="5"/>
      <c r="MWH67" s="5"/>
      <c r="MWI67" s="5"/>
      <c r="MWJ67" s="5"/>
      <c r="MWK67" s="5"/>
      <c r="MWL67" s="5"/>
      <c r="MWM67" s="5"/>
      <c r="MWN67" s="5"/>
      <c r="MWO67" s="5"/>
      <c r="MWP67" s="5"/>
      <c r="MWQ67" s="5"/>
      <c r="MWR67" s="5"/>
      <c r="MWS67" s="5"/>
      <c r="MWT67" s="5"/>
      <c r="MWU67" s="5"/>
      <c r="MWV67" s="5"/>
      <c r="MWW67" s="5"/>
      <c r="MWX67" s="5"/>
      <c r="MWY67" s="5"/>
      <c r="MWZ67" s="5"/>
      <c r="MXA67" s="5"/>
      <c r="MXB67" s="5"/>
      <c r="MXC67" s="5"/>
      <c r="MXD67" s="5"/>
      <c r="MXE67" s="5"/>
      <c r="MXF67" s="5"/>
      <c r="MXG67" s="5"/>
      <c r="MXH67" s="5"/>
      <c r="MXI67" s="5"/>
      <c r="MXJ67" s="5"/>
      <c r="MXK67" s="5"/>
      <c r="MXL67" s="5"/>
      <c r="MXM67" s="5"/>
      <c r="MXN67" s="5"/>
      <c r="MXO67" s="5"/>
      <c r="MXP67" s="5"/>
      <c r="MXQ67" s="5"/>
      <c r="MXR67" s="5"/>
      <c r="MXS67" s="5"/>
      <c r="MXT67" s="5"/>
      <c r="MXU67" s="5"/>
      <c r="MXV67" s="5"/>
      <c r="MXW67" s="5"/>
      <c r="MXX67" s="5"/>
      <c r="MXY67" s="5"/>
      <c r="MXZ67" s="5"/>
      <c r="MYA67" s="5"/>
      <c r="MYB67" s="5"/>
      <c r="MYC67" s="5"/>
      <c r="MYD67" s="5"/>
      <c r="MYE67" s="5"/>
      <c r="MYF67" s="5"/>
      <c r="MYG67" s="5"/>
      <c r="MYH67" s="5"/>
      <c r="MYI67" s="5"/>
      <c r="MYJ67" s="5"/>
      <c r="MYK67" s="5"/>
      <c r="MYL67" s="5"/>
      <c r="MYM67" s="5"/>
      <c r="MYN67" s="5"/>
      <c r="MYO67" s="5"/>
      <c r="MYP67" s="5"/>
      <c r="MYQ67" s="5"/>
      <c r="MYR67" s="5"/>
      <c r="MYS67" s="5"/>
      <c r="MYT67" s="5"/>
      <c r="MYU67" s="5"/>
      <c r="MYV67" s="5"/>
      <c r="MYW67" s="5"/>
      <c r="MYX67" s="5"/>
      <c r="MYY67" s="5"/>
      <c r="MYZ67" s="5"/>
      <c r="MZA67" s="5"/>
      <c r="MZB67" s="5"/>
      <c r="MZC67" s="5"/>
      <c r="MZD67" s="5"/>
      <c r="MZE67" s="5"/>
      <c r="MZF67" s="5"/>
      <c r="MZG67" s="5"/>
      <c r="MZH67" s="5"/>
      <c r="MZI67" s="5"/>
      <c r="MZJ67" s="5"/>
      <c r="MZK67" s="5"/>
      <c r="MZL67" s="5"/>
      <c r="MZM67" s="5"/>
      <c r="MZN67" s="5"/>
      <c r="MZO67" s="5"/>
      <c r="MZP67" s="5"/>
      <c r="MZQ67" s="5"/>
      <c r="MZR67" s="5"/>
      <c r="MZS67" s="5"/>
      <c r="MZT67" s="5"/>
      <c r="MZU67" s="5"/>
      <c r="MZV67" s="5"/>
      <c r="MZW67" s="5"/>
      <c r="MZX67" s="5"/>
      <c r="MZY67" s="5"/>
      <c r="MZZ67" s="5"/>
      <c r="NAA67" s="5"/>
      <c r="NAB67" s="5"/>
      <c r="NAC67" s="5"/>
      <c r="NAD67" s="5"/>
      <c r="NAE67" s="5"/>
      <c r="NAF67" s="5"/>
      <c r="NAG67" s="5"/>
      <c r="NAH67" s="5"/>
      <c r="NAI67" s="5"/>
      <c r="NAJ67" s="5"/>
      <c r="NAK67" s="5"/>
      <c r="NAL67" s="5"/>
      <c r="NAM67" s="5"/>
      <c r="NAN67" s="5"/>
      <c r="NAO67" s="5"/>
      <c r="NAP67" s="5"/>
      <c r="NAQ67" s="5"/>
      <c r="NAR67" s="5"/>
      <c r="NAS67" s="5"/>
      <c r="NAT67" s="5"/>
      <c r="NAU67" s="5"/>
      <c r="NAV67" s="5"/>
      <c r="NAW67" s="5"/>
      <c r="NAX67" s="5"/>
      <c r="NAY67" s="5"/>
      <c r="NAZ67" s="5"/>
      <c r="NBA67" s="5"/>
      <c r="NBB67" s="5"/>
      <c r="NBC67" s="5"/>
      <c r="NBD67" s="5"/>
      <c r="NBE67" s="5"/>
      <c r="NBF67" s="5"/>
      <c r="NBG67" s="5"/>
      <c r="NBH67" s="5"/>
      <c r="NBI67" s="5"/>
      <c r="NBJ67" s="5"/>
      <c r="NBK67" s="5"/>
      <c r="NBL67" s="5"/>
      <c r="NBM67" s="5"/>
      <c r="NBN67" s="5"/>
      <c r="NBO67" s="5"/>
      <c r="NBP67" s="5"/>
      <c r="NBQ67" s="5"/>
      <c r="NBR67" s="5"/>
      <c r="NBS67" s="5"/>
      <c r="NBT67" s="5"/>
      <c r="NBU67" s="5"/>
      <c r="NBV67" s="5"/>
      <c r="NBW67" s="5"/>
      <c r="NBX67" s="5"/>
      <c r="NBY67" s="5"/>
      <c r="NBZ67" s="5"/>
      <c r="NCA67" s="5"/>
      <c r="NCB67" s="5"/>
      <c r="NCC67" s="5"/>
      <c r="NCD67" s="5"/>
      <c r="NCE67" s="5"/>
      <c r="NCF67" s="5"/>
      <c r="NCG67" s="5"/>
      <c r="NCH67" s="5"/>
      <c r="NCI67" s="5"/>
      <c r="NCJ67" s="5"/>
      <c r="NCK67" s="5"/>
      <c r="NCL67" s="5"/>
      <c r="NCM67" s="5"/>
      <c r="NCN67" s="5"/>
      <c r="NCO67" s="5"/>
      <c r="NCP67" s="5"/>
      <c r="NCQ67" s="5"/>
      <c r="NCR67" s="5"/>
      <c r="NCS67" s="5"/>
      <c r="NCT67" s="5"/>
      <c r="NCU67" s="5"/>
      <c r="NCV67" s="5"/>
      <c r="NCW67" s="5"/>
      <c r="NCX67" s="5"/>
      <c r="NCY67" s="5"/>
      <c r="NCZ67" s="5"/>
      <c r="NDA67" s="5"/>
      <c r="NDB67" s="5"/>
      <c r="NDC67" s="5"/>
      <c r="NDD67" s="5"/>
      <c r="NDE67" s="5"/>
      <c r="NDF67" s="5"/>
      <c r="NDG67" s="5"/>
      <c r="NDH67" s="5"/>
      <c r="NDI67" s="5"/>
      <c r="NDJ67" s="5"/>
      <c r="NDK67" s="5"/>
      <c r="NDL67" s="5"/>
      <c r="NDM67" s="5"/>
      <c r="NDN67" s="5"/>
      <c r="NDO67" s="5"/>
      <c r="NDP67" s="5"/>
      <c r="NDQ67" s="5"/>
      <c r="NDR67" s="5"/>
      <c r="NDS67" s="5"/>
      <c r="NDT67" s="5"/>
      <c r="NDU67" s="5"/>
      <c r="NDV67" s="5"/>
      <c r="NDW67" s="5"/>
      <c r="NDX67" s="5"/>
      <c r="NDY67" s="5"/>
      <c r="NDZ67" s="5"/>
      <c r="NEA67" s="5"/>
      <c r="NEB67" s="5"/>
      <c r="NEC67" s="5"/>
      <c r="NED67" s="5"/>
      <c r="NEE67" s="5"/>
      <c r="NEF67" s="5"/>
      <c r="NEG67" s="5"/>
      <c r="NEH67" s="5"/>
      <c r="NEI67" s="5"/>
      <c r="NEJ67" s="5"/>
      <c r="NEK67" s="5"/>
      <c r="NEL67" s="5"/>
      <c r="NEM67" s="5"/>
      <c r="NEN67" s="5"/>
      <c r="NEO67" s="5"/>
      <c r="NEP67" s="5"/>
      <c r="NEQ67" s="5"/>
      <c r="NER67" s="5"/>
      <c r="NES67" s="5"/>
      <c r="NET67" s="5"/>
      <c r="NEU67" s="5"/>
      <c r="NEV67" s="5"/>
      <c r="NEW67" s="5"/>
      <c r="NEX67" s="5"/>
      <c r="NEY67" s="5"/>
      <c r="NEZ67" s="5"/>
      <c r="NFA67" s="5"/>
      <c r="NFB67" s="5"/>
      <c r="NFC67" s="5"/>
      <c r="NFD67" s="5"/>
      <c r="NFE67" s="5"/>
      <c r="NFF67" s="5"/>
      <c r="NFG67" s="5"/>
      <c r="NFH67" s="5"/>
      <c r="NFI67" s="5"/>
      <c r="NFJ67" s="5"/>
      <c r="NFK67" s="5"/>
      <c r="NFL67" s="5"/>
      <c r="NFM67" s="5"/>
      <c r="NFN67" s="5"/>
      <c r="NFO67" s="5"/>
      <c r="NFP67" s="5"/>
      <c r="NFQ67" s="5"/>
      <c r="NFR67" s="5"/>
      <c r="NFS67" s="5"/>
      <c r="NFT67" s="5"/>
      <c r="NFU67" s="5"/>
      <c r="NFV67" s="5"/>
      <c r="NFW67" s="5"/>
      <c r="NFX67" s="5"/>
      <c r="NFY67" s="5"/>
      <c r="NFZ67" s="5"/>
      <c r="NGA67" s="5"/>
      <c r="NGB67" s="5"/>
      <c r="NGC67" s="5"/>
      <c r="NGD67" s="5"/>
      <c r="NGE67" s="5"/>
      <c r="NGF67" s="5"/>
      <c r="NGG67" s="5"/>
      <c r="NGH67" s="5"/>
      <c r="NGI67" s="5"/>
      <c r="NGJ67" s="5"/>
      <c r="NGK67" s="5"/>
      <c r="NGL67" s="5"/>
      <c r="NGM67" s="5"/>
      <c r="NGN67" s="5"/>
      <c r="NGO67" s="5"/>
      <c r="NGP67" s="5"/>
      <c r="NGQ67" s="5"/>
      <c r="NGR67" s="5"/>
      <c r="NGS67" s="5"/>
      <c r="NGT67" s="5"/>
      <c r="NGU67" s="5"/>
      <c r="NGV67" s="5"/>
      <c r="NGW67" s="5"/>
      <c r="NGX67" s="5"/>
      <c r="NGY67" s="5"/>
      <c r="NGZ67" s="5"/>
      <c r="NHA67" s="5"/>
      <c r="NHB67" s="5"/>
      <c r="NHC67" s="5"/>
      <c r="NHD67" s="5"/>
      <c r="NHE67" s="5"/>
      <c r="NHF67" s="5"/>
      <c r="NHG67" s="5"/>
      <c r="NHH67" s="5"/>
      <c r="NHI67" s="5"/>
      <c r="NHJ67" s="5"/>
      <c r="NHK67" s="5"/>
      <c r="NHL67" s="5"/>
      <c r="NHM67" s="5"/>
      <c r="NHN67" s="5"/>
      <c r="NHO67" s="5"/>
      <c r="NHP67" s="5"/>
      <c r="NHQ67" s="5"/>
      <c r="NHR67" s="5"/>
      <c r="NHS67" s="5"/>
      <c r="NHT67" s="5"/>
      <c r="NHU67" s="5"/>
      <c r="NHV67" s="5"/>
      <c r="NHW67" s="5"/>
      <c r="NHX67" s="5"/>
      <c r="NHY67" s="5"/>
      <c r="NHZ67" s="5"/>
      <c r="NIA67" s="5"/>
      <c r="NIB67" s="5"/>
      <c r="NIC67" s="5"/>
      <c r="NID67" s="5"/>
      <c r="NIE67" s="5"/>
      <c r="NIF67" s="5"/>
      <c r="NIG67" s="5"/>
      <c r="NIH67" s="5"/>
      <c r="NII67" s="5"/>
      <c r="NIJ67" s="5"/>
      <c r="NIK67" s="5"/>
      <c r="NIL67" s="5"/>
      <c r="NIM67" s="5"/>
      <c r="NIN67" s="5"/>
      <c r="NIO67" s="5"/>
      <c r="NIP67" s="5"/>
      <c r="NIQ67" s="5"/>
      <c r="NIR67" s="5"/>
      <c r="NIS67" s="5"/>
      <c r="NIT67" s="5"/>
      <c r="NIU67" s="5"/>
      <c r="NIV67" s="5"/>
      <c r="NIW67" s="5"/>
      <c r="NIX67" s="5"/>
      <c r="NIY67" s="5"/>
      <c r="NIZ67" s="5"/>
      <c r="NJA67" s="5"/>
      <c r="NJB67" s="5"/>
      <c r="NJC67" s="5"/>
      <c r="NJD67" s="5"/>
      <c r="NJE67" s="5"/>
      <c r="NJF67" s="5"/>
      <c r="NJG67" s="5"/>
      <c r="NJH67" s="5"/>
      <c r="NJI67" s="5"/>
      <c r="NJJ67" s="5"/>
      <c r="NJK67" s="5"/>
      <c r="NJL67" s="5"/>
      <c r="NJM67" s="5"/>
      <c r="NJN67" s="5"/>
      <c r="NJO67" s="5"/>
      <c r="NJP67" s="5"/>
      <c r="NJQ67" s="5"/>
      <c r="NJR67" s="5"/>
      <c r="NJS67" s="5"/>
      <c r="NJT67" s="5"/>
      <c r="NJU67" s="5"/>
      <c r="NJV67" s="5"/>
      <c r="NJW67" s="5"/>
      <c r="NJX67" s="5"/>
      <c r="NJY67" s="5"/>
      <c r="NJZ67" s="5"/>
      <c r="NKA67" s="5"/>
      <c r="NKB67" s="5"/>
      <c r="NKC67" s="5"/>
      <c r="NKD67" s="5"/>
      <c r="NKE67" s="5"/>
      <c r="NKF67" s="5"/>
      <c r="NKG67" s="5"/>
      <c r="NKH67" s="5"/>
      <c r="NKI67" s="5"/>
      <c r="NKJ67" s="5"/>
      <c r="NKK67" s="5"/>
      <c r="NKL67" s="5"/>
      <c r="NKM67" s="5"/>
      <c r="NKN67" s="5"/>
      <c r="NKO67" s="5"/>
      <c r="NKP67" s="5"/>
      <c r="NKQ67" s="5"/>
      <c r="NKR67" s="5"/>
      <c r="NKS67" s="5"/>
      <c r="NKT67" s="5"/>
      <c r="NKU67" s="5"/>
      <c r="NKV67" s="5"/>
      <c r="NKW67" s="5"/>
      <c r="NKX67" s="5"/>
      <c r="NKY67" s="5"/>
      <c r="NKZ67" s="5"/>
      <c r="NLA67" s="5"/>
      <c r="NLB67" s="5"/>
      <c r="NLC67" s="5"/>
      <c r="NLD67" s="5"/>
      <c r="NLE67" s="5"/>
      <c r="NLF67" s="5"/>
      <c r="NLG67" s="5"/>
      <c r="NLH67" s="5"/>
      <c r="NLI67" s="5"/>
      <c r="NLJ67" s="5"/>
      <c r="NLK67" s="5"/>
      <c r="NLL67" s="5"/>
      <c r="NLM67" s="5"/>
      <c r="NLN67" s="5"/>
      <c r="NLO67" s="5"/>
      <c r="NLP67" s="5"/>
      <c r="NLQ67" s="5"/>
      <c r="NLR67" s="5"/>
      <c r="NLS67" s="5"/>
      <c r="NLT67" s="5"/>
      <c r="NLU67" s="5"/>
      <c r="NLV67" s="5"/>
      <c r="NLW67" s="5"/>
      <c r="NLX67" s="5"/>
      <c r="NLY67" s="5"/>
      <c r="NLZ67" s="5"/>
      <c r="NMA67" s="5"/>
      <c r="NMB67" s="5"/>
      <c r="NMC67" s="5"/>
      <c r="NMD67" s="5"/>
      <c r="NME67" s="5"/>
      <c r="NMF67" s="5"/>
      <c r="NMG67" s="5"/>
      <c r="NMH67" s="5"/>
      <c r="NMI67" s="5"/>
      <c r="NMJ67" s="5"/>
      <c r="NMK67" s="5"/>
      <c r="NML67" s="5"/>
      <c r="NMM67" s="5"/>
      <c r="NMN67" s="5"/>
      <c r="NMO67" s="5"/>
      <c r="NMP67" s="5"/>
      <c r="NMQ67" s="5"/>
      <c r="NMR67" s="5"/>
      <c r="NMS67" s="5"/>
      <c r="NMT67" s="5"/>
      <c r="NMU67" s="5"/>
      <c r="NMV67" s="5"/>
      <c r="NMW67" s="5"/>
      <c r="NMX67" s="5"/>
      <c r="NMY67" s="5"/>
      <c r="NMZ67" s="5"/>
      <c r="NNA67" s="5"/>
      <c r="NNB67" s="5"/>
      <c r="NNC67" s="5"/>
      <c r="NND67" s="5"/>
      <c r="NNE67" s="5"/>
      <c r="NNF67" s="5"/>
      <c r="NNG67" s="5"/>
      <c r="NNH67" s="5"/>
      <c r="NNI67" s="5"/>
      <c r="NNJ67" s="5"/>
      <c r="NNK67" s="5"/>
      <c r="NNL67" s="5"/>
      <c r="NNM67" s="5"/>
      <c r="NNN67" s="5"/>
      <c r="NNO67" s="5"/>
      <c r="NNP67" s="5"/>
      <c r="NNQ67" s="5"/>
      <c r="NNR67" s="5"/>
      <c r="NNS67" s="5"/>
      <c r="NNT67" s="5"/>
      <c r="NNU67" s="5"/>
      <c r="NNV67" s="5"/>
      <c r="NNW67" s="5"/>
      <c r="NNX67" s="5"/>
      <c r="NNY67" s="5"/>
      <c r="NNZ67" s="5"/>
      <c r="NOA67" s="5"/>
      <c r="NOB67" s="5"/>
      <c r="NOC67" s="5"/>
      <c r="NOD67" s="5"/>
      <c r="NOE67" s="5"/>
      <c r="NOF67" s="5"/>
      <c r="NOG67" s="5"/>
      <c r="NOH67" s="5"/>
      <c r="NOI67" s="5"/>
      <c r="NOJ67" s="5"/>
      <c r="NOK67" s="5"/>
      <c r="NOL67" s="5"/>
      <c r="NOM67" s="5"/>
      <c r="NON67" s="5"/>
      <c r="NOO67" s="5"/>
      <c r="NOP67" s="5"/>
      <c r="NOQ67" s="5"/>
      <c r="NOR67" s="5"/>
      <c r="NOS67" s="5"/>
      <c r="NOT67" s="5"/>
      <c r="NOU67" s="5"/>
      <c r="NOV67" s="5"/>
      <c r="NOW67" s="5"/>
      <c r="NOX67" s="5"/>
      <c r="NOY67" s="5"/>
      <c r="NOZ67" s="5"/>
      <c r="NPA67" s="5"/>
      <c r="NPB67" s="5"/>
      <c r="NPC67" s="5"/>
      <c r="NPD67" s="5"/>
      <c r="NPE67" s="5"/>
      <c r="NPF67" s="5"/>
      <c r="NPG67" s="5"/>
      <c r="NPH67" s="5"/>
      <c r="NPI67" s="5"/>
      <c r="NPJ67" s="5"/>
      <c r="NPK67" s="5"/>
      <c r="NPL67" s="5"/>
      <c r="NPM67" s="5"/>
      <c r="NPN67" s="5"/>
      <c r="NPO67" s="5"/>
      <c r="NPP67" s="5"/>
      <c r="NPQ67" s="5"/>
      <c r="NPR67" s="5"/>
      <c r="NPS67" s="5"/>
      <c r="NPT67" s="5"/>
      <c r="NPU67" s="5"/>
      <c r="NPV67" s="5"/>
      <c r="NPW67" s="5"/>
      <c r="NPX67" s="5"/>
      <c r="NPY67" s="5"/>
      <c r="NPZ67" s="5"/>
      <c r="NQA67" s="5"/>
      <c r="NQB67" s="5"/>
      <c r="NQC67" s="5"/>
      <c r="NQD67" s="5"/>
      <c r="NQE67" s="5"/>
      <c r="NQF67" s="5"/>
      <c r="NQG67" s="5"/>
      <c r="NQH67" s="5"/>
      <c r="NQI67" s="5"/>
      <c r="NQJ67" s="5"/>
      <c r="NQK67" s="5"/>
      <c r="NQL67" s="5"/>
      <c r="NQM67" s="5"/>
      <c r="NQN67" s="5"/>
      <c r="NQO67" s="5"/>
      <c r="NQP67" s="5"/>
      <c r="NQQ67" s="5"/>
      <c r="NQR67" s="5"/>
      <c r="NQS67" s="5"/>
      <c r="NQT67" s="5"/>
      <c r="NQU67" s="5"/>
      <c r="NQV67" s="5"/>
      <c r="NQW67" s="5"/>
      <c r="NQX67" s="5"/>
      <c r="NQY67" s="5"/>
      <c r="NQZ67" s="5"/>
      <c r="NRA67" s="5"/>
      <c r="NRB67" s="5"/>
      <c r="NRC67" s="5"/>
      <c r="NRD67" s="5"/>
      <c r="NRE67" s="5"/>
      <c r="NRF67" s="5"/>
      <c r="NRG67" s="5"/>
      <c r="NRH67" s="5"/>
      <c r="NRI67" s="5"/>
      <c r="NRJ67" s="5"/>
      <c r="NRK67" s="5"/>
      <c r="NRL67" s="5"/>
      <c r="NRM67" s="5"/>
      <c r="NRN67" s="5"/>
      <c r="NRO67" s="5"/>
      <c r="NRP67" s="5"/>
      <c r="NRQ67" s="5"/>
      <c r="NRR67" s="5"/>
      <c r="NRS67" s="5"/>
      <c r="NRT67" s="5"/>
      <c r="NRU67" s="5"/>
      <c r="NRV67" s="5"/>
      <c r="NRW67" s="5"/>
      <c r="NRX67" s="5"/>
      <c r="NRY67" s="5"/>
      <c r="NRZ67" s="5"/>
      <c r="NSA67" s="5"/>
      <c r="NSB67" s="5"/>
      <c r="NSC67" s="5"/>
      <c r="NSD67" s="5"/>
      <c r="NSE67" s="5"/>
      <c r="NSF67" s="5"/>
      <c r="NSG67" s="5"/>
      <c r="NSH67" s="5"/>
      <c r="NSI67" s="5"/>
      <c r="NSJ67" s="5"/>
      <c r="NSK67" s="5"/>
      <c r="NSL67" s="5"/>
      <c r="NSM67" s="5"/>
      <c r="NSN67" s="5"/>
      <c r="NSO67" s="5"/>
      <c r="NSP67" s="5"/>
      <c r="NSQ67" s="5"/>
      <c r="NSR67" s="5"/>
      <c r="NSS67" s="5"/>
      <c r="NST67" s="5"/>
      <c r="NSU67" s="5"/>
      <c r="NSV67" s="5"/>
      <c r="NSW67" s="5"/>
      <c r="NSX67" s="5"/>
      <c r="NSY67" s="5"/>
      <c r="NSZ67" s="5"/>
      <c r="NTA67" s="5"/>
      <c r="NTB67" s="5"/>
      <c r="NTC67" s="5"/>
      <c r="NTD67" s="5"/>
      <c r="NTE67" s="5"/>
      <c r="NTF67" s="5"/>
      <c r="NTG67" s="5"/>
      <c r="NTH67" s="5"/>
      <c r="NTI67" s="5"/>
      <c r="NTJ67" s="5"/>
      <c r="NTK67" s="5"/>
      <c r="NTL67" s="5"/>
      <c r="NTM67" s="5"/>
      <c r="NTN67" s="5"/>
      <c r="NTO67" s="5"/>
      <c r="NTP67" s="5"/>
      <c r="NTQ67" s="5"/>
      <c r="NTR67" s="5"/>
      <c r="NTS67" s="5"/>
      <c r="NTT67" s="5"/>
      <c r="NTU67" s="5"/>
      <c r="NTV67" s="5"/>
      <c r="NTW67" s="5"/>
      <c r="NTX67" s="5"/>
      <c r="NTY67" s="5"/>
      <c r="NTZ67" s="5"/>
      <c r="NUA67" s="5"/>
      <c r="NUB67" s="5"/>
      <c r="NUC67" s="5"/>
      <c r="NUD67" s="5"/>
      <c r="NUE67" s="5"/>
      <c r="NUF67" s="5"/>
      <c r="NUG67" s="5"/>
      <c r="NUH67" s="5"/>
      <c r="NUI67" s="5"/>
      <c r="NUJ67" s="5"/>
      <c r="NUK67" s="5"/>
      <c r="NUL67" s="5"/>
      <c r="NUM67" s="5"/>
      <c r="NUN67" s="5"/>
      <c r="NUO67" s="5"/>
      <c r="NUP67" s="5"/>
      <c r="NUQ67" s="5"/>
      <c r="NUR67" s="5"/>
      <c r="NUS67" s="5"/>
      <c r="NUT67" s="5"/>
      <c r="NUU67" s="5"/>
      <c r="NUV67" s="5"/>
      <c r="NUW67" s="5"/>
      <c r="NUX67" s="5"/>
      <c r="NUY67" s="5"/>
      <c r="NUZ67" s="5"/>
      <c r="NVA67" s="5"/>
      <c r="NVB67" s="5"/>
      <c r="NVC67" s="5"/>
      <c r="NVD67" s="5"/>
      <c r="NVE67" s="5"/>
      <c r="NVF67" s="5"/>
      <c r="NVG67" s="5"/>
      <c r="NVH67" s="5"/>
      <c r="NVI67" s="5"/>
      <c r="NVJ67" s="5"/>
      <c r="NVK67" s="5"/>
      <c r="NVL67" s="5"/>
      <c r="NVM67" s="5"/>
      <c r="NVN67" s="5"/>
      <c r="NVO67" s="5"/>
      <c r="NVP67" s="5"/>
      <c r="NVQ67" s="5"/>
      <c r="NVR67" s="5"/>
      <c r="NVS67" s="5"/>
      <c r="NVT67" s="5"/>
      <c r="NVU67" s="5"/>
      <c r="NVV67" s="5"/>
      <c r="NVW67" s="5"/>
      <c r="NVX67" s="5"/>
      <c r="NVY67" s="5"/>
      <c r="NVZ67" s="5"/>
      <c r="NWA67" s="5"/>
      <c r="NWB67" s="5"/>
      <c r="NWC67" s="5"/>
      <c r="NWD67" s="5"/>
      <c r="NWE67" s="5"/>
      <c r="NWF67" s="5"/>
      <c r="NWG67" s="5"/>
      <c r="NWH67" s="5"/>
      <c r="NWI67" s="5"/>
      <c r="NWJ67" s="5"/>
      <c r="NWK67" s="5"/>
      <c r="NWL67" s="5"/>
      <c r="NWM67" s="5"/>
      <c r="NWN67" s="5"/>
      <c r="NWO67" s="5"/>
      <c r="NWP67" s="5"/>
      <c r="NWQ67" s="5"/>
      <c r="NWR67" s="5"/>
      <c r="NWS67" s="5"/>
      <c r="NWT67" s="5"/>
      <c r="NWU67" s="5"/>
      <c r="NWV67" s="5"/>
      <c r="NWW67" s="5"/>
      <c r="NWX67" s="5"/>
      <c r="NWY67" s="5"/>
      <c r="NWZ67" s="5"/>
      <c r="NXA67" s="5"/>
      <c r="NXB67" s="5"/>
      <c r="NXC67" s="5"/>
      <c r="NXD67" s="5"/>
      <c r="NXE67" s="5"/>
      <c r="NXF67" s="5"/>
      <c r="NXG67" s="5"/>
      <c r="NXH67" s="5"/>
      <c r="NXI67" s="5"/>
      <c r="NXJ67" s="5"/>
      <c r="NXK67" s="5"/>
      <c r="NXL67" s="5"/>
      <c r="NXM67" s="5"/>
      <c r="NXN67" s="5"/>
      <c r="NXO67" s="5"/>
      <c r="NXP67" s="5"/>
      <c r="NXQ67" s="5"/>
      <c r="NXR67" s="5"/>
      <c r="NXS67" s="5"/>
      <c r="NXT67" s="5"/>
      <c r="NXU67" s="5"/>
      <c r="NXV67" s="5"/>
      <c r="NXW67" s="5"/>
      <c r="NXX67" s="5"/>
      <c r="NXY67" s="5"/>
      <c r="NXZ67" s="5"/>
      <c r="NYA67" s="5"/>
      <c r="NYB67" s="5"/>
      <c r="NYC67" s="5"/>
      <c r="NYD67" s="5"/>
      <c r="NYE67" s="5"/>
      <c r="NYF67" s="5"/>
      <c r="NYG67" s="5"/>
      <c r="NYH67" s="5"/>
      <c r="NYI67" s="5"/>
      <c r="NYJ67" s="5"/>
      <c r="NYK67" s="5"/>
      <c r="NYL67" s="5"/>
      <c r="NYM67" s="5"/>
      <c r="NYN67" s="5"/>
      <c r="NYO67" s="5"/>
      <c r="NYP67" s="5"/>
      <c r="NYQ67" s="5"/>
      <c r="NYR67" s="5"/>
      <c r="NYS67" s="5"/>
      <c r="NYT67" s="5"/>
      <c r="NYU67" s="5"/>
      <c r="NYV67" s="5"/>
      <c r="NYW67" s="5"/>
      <c r="NYX67" s="5"/>
      <c r="NYY67" s="5"/>
      <c r="NYZ67" s="5"/>
      <c r="NZA67" s="5"/>
      <c r="NZB67" s="5"/>
      <c r="NZC67" s="5"/>
      <c r="NZD67" s="5"/>
      <c r="NZE67" s="5"/>
      <c r="NZF67" s="5"/>
      <c r="NZG67" s="5"/>
      <c r="NZH67" s="5"/>
      <c r="NZI67" s="5"/>
      <c r="NZJ67" s="5"/>
      <c r="NZK67" s="5"/>
      <c r="NZL67" s="5"/>
      <c r="NZM67" s="5"/>
      <c r="NZN67" s="5"/>
      <c r="NZO67" s="5"/>
      <c r="NZP67" s="5"/>
      <c r="NZQ67" s="5"/>
      <c r="NZR67" s="5"/>
      <c r="NZS67" s="5"/>
      <c r="NZT67" s="5"/>
      <c r="NZU67" s="5"/>
      <c r="NZV67" s="5"/>
      <c r="NZW67" s="5"/>
      <c r="NZX67" s="5"/>
      <c r="NZY67" s="5"/>
      <c r="NZZ67" s="5"/>
      <c r="OAA67" s="5"/>
      <c r="OAB67" s="5"/>
      <c r="OAC67" s="5"/>
      <c r="OAD67" s="5"/>
      <c r="OAE67" s="5"/>
      <c r="OAF67" s="5"/>
      <c r="OAG67" s="5"/>
      <c r="OAH67" s="5"/>
      <c r="OAI67" s="5"/>
      <c r="OAJ67" s="5"/>
      <c r="OAK67" s="5"/>
      <c r="OAL67" s="5"/>
      <c r="OAM67" s="5"/>
      <c r="OAN67" s="5"/>
      <c r="OAO67" s="5"/>
      <c r="OAP67" s="5"/>
      <c r="OAQ67" s="5"/>
      <c r="OAR67" s="5"/>
      <c r="OAS67" s="5"/>
      <c r="OAT67" s="5"/>
      <c r="OAU67" s="5"/>
      <c r="OAV67" s="5"/>
      <c r="OAW67" s="5"/>
      <c r="OAX67" s="5"/>
      <c r="OAY67" s="5"/>
      <c r="OAZ67" s="5"/>
      <c r="OBA67" s="5"/>
      <c r="OBB67" s="5"/>
      <c r="OBC67" s="5"/>
      <c r="OBD67" s="5"/>
      <c r="OBE67" s="5"/>
      <c r="OBF67" s="5"/>
      <c r="OBG67" s="5"/>
      <c r="OBH67" s="5"/>
      <c r="OBI67" s="5"/>
      <c r="OBJ67" s="5"/>
      <c r="OBK67" s="5"/>
      <c r="OBL67" s="5"/>
      <c r="OBM67" s="5"/>
      <c r="OBN67" s="5"/>
      <c r="OBO67" s="5"/>
      <c r="OBP67" s="5"/>
      <c r="OBQ67" s="5"/>
      <c r="OBR67" s="5"/>
      <c r="OBS67" s="5"/>
      <c r="OBT67" s="5"/>
      <c r="OBU67" s="5"/>
      <c r="OBV67" s="5"/>
      <c r="OBW67" s="5"/>
      <c r="OBX67" s="5"/>
      <c r="OBY67" s="5"/>
      <c r="OBZ67" s="5"/>
      <c r="OCA67" s="5"/>
      <c r="OCB67" s="5"/>
      <c r="OCC67" s="5"/>
      <c r="OCD67" s="5"/>
      <c r="OCE67" s="5"/>
      <c r="OCF67" s="5"/>
      <c r="OCG67" s="5"/>
      <c r="OCH67" s="5"/>
      <c r="OCI67" s="5"/>
      <c r="OCJ67" s="5"/>
      <c r="OCK67" s="5"/>
      <c r="OCL67" s="5"/>
      <c r="OCM67" s="5"/>
      <c r="OCN67" s="5"/>
      <c r="OCO67" s="5"/>
      <c r="OCP67" s="5"/>
      <c r="OCQ67" s="5"/>
      <c r="OCR67" s="5"/>
      <c r="OCS67" s="5"/>
      <c r="OCT67" s="5"/>
      <c r="OCU67" s="5"/>
      <c r="OCV67" s="5"/>
      <c r="OCW67" s="5"/>
      <c r="OCX67" s="5"/>
      <c r="OCY67" s="5"/>
      <c r="OCZ67" s="5"/>
      <c r="ODA67" s="5"/>
      <c r="ODB67" s="5"/>
      <c r="ODC67" s="5"/>
      <c r="ODD67" s="5"/>
      <c r="ODE67" s="5"/>
      <c r="ODF67" s="5"/>
      <c r="ODG67" s="5"/>
      <c r="ODH67" s="5"/>
      <c r="ODI67" s="5"/>
      <c r="ODJ67" s="5"/>
      <c r="ODK67" s="5"/>
      <c r="ODL67" s="5"/>
      <c r="ODM67" s="5"/>
      <c r="ODN67" s="5"/>
      <c r="ODO67" s="5"/>
      <c r="ODP67" s="5"/>
      <c r="ODQ67" s="5"/>
      <c r="ODR67" s="5"/>
      <c r="ODS67" s="5"/>
      <c r="ODT67" s="5"/>
      <c r="ODU67" s="5"/>
      <c r="ODV67" s="5"/>
      <c r="ODW67" s="5"/>
      <c r="ODX67" s="5"/>
      <c r="ODY67" s="5"/>
      <c r="ODZ67" s="5"/>
      <c r="OEA67" s="5"/>
      <c r="OEB67" s="5"/>
      <c r="OEC67" s="5"/>
      <c r="OED67" s="5"/>
      <c r="OEE67" s="5"/>
      <c r="OEF67" s="5"/>
      <c r="OEG67" s="5"/>
      <c r="OEH67" s="5"/>
      <c r="OEI67" s="5"/>
      <c r="OEJ67" s="5"/>
      <c r="OEK67" s="5"/>
      <c r="OEL67" s="5"/>
      <c r="OEM67" s="5"/>
      <c r="OEN67" s="5"/>
      <c r="OEO67" s="5"/>
      <c r="OEP67" s="5"/>
      <c r="OEQ67" s="5"/>
      <c r="OER67" s="5"/>
      <c r="OES67" s="5"/>
      <c r="OET67" s="5"/>
      <c r="OEU67" s="5"/>
      <c r="OEV67" s="5"/>
      <c r="OEW67" s="5"/>
      <c r="OEX67" s="5"/>
      <c r="OEY67" s="5"/>
      <c r="OEZ67" s="5"/>
      <c r="OFA67" s="5"/>
      <c r="OFB67" s="5"/>
      <c r="OFC67" s="5"/>
      <c r="OFD67" s="5"/>
      <c r="OFE67" s="5"/>
      <c r="OFF67" s="5"/>
      <c r="OFG67" s="5"/>
      <c r="OFH67" s="5"/>
      <c r="OFI67" s="5"/>
      <c r="OFJ67" s="5"/>
      <c r="OFK67" s="5"/>
      <c r="OFL67" s="5"/>
      <c r="OFM67" s="5"/>
      <c r="OFN67" s="5"/>
      <c r="OFO67" s="5"/>
      <c r="OFP67" s="5"/>
      <c r="OFQ67" s="5"/>
      <c r="OFR67" s="5"/>
      <c r="OFS67" s="5"/>
      <c r="OFT67" s="5"/>
      <c r="OFU67" s="5"/>
      <c r="OFV67" s="5"/>
      <c r="OFW67" s="5"/>
      <c r="OFX67" s="5"/>
      <c r="OFY67" s="5"/>
      <c r="OFZ67" s="5"/>
      <c r="OGA67" s="5"/>
      <c r="OGB67" s="5"/>
      <c r="OGC67" s="5"/>
      <c r="OGD67" s="5"/>
      <c r="OGE67" s="5"/>
      <c r="OGF67" s="5"/>
      <c r="OGG67" s="5"/>
      <c r="OGH67" s="5"/>
      <c r="OGI67" s="5"/>
      <c r="OGJ67" s="5"/>
      <c r="OGK67" s="5"/>
      <c r="OGL67" s="5"/>
      <c r="OGM67" s="5"/>
      <c r="OGN67" s="5"/>
      <c r="OGO67" s="5"/>
      <c r="OGP67" s="5"/>
      <c r="OGQ67" s="5"/>
      <c r="OGR67" s="5"/>
      <c r="OGS67" s="5"/>
      <c r="OGT67" s="5"/>
      <c r="OGU67" s="5"/>
      <c r="OGV67" s="5"/>
      <c r="OGW67" s="5"/>
      <c r="OGX67" s="5"/>
      <c r="OGY67" s="5"/>
      <c r="OGZ67" s="5"/>
      <c r="OHA67" s="5"/>
      <c r="OHB67" s="5"/>
      <c r="OHC67" s="5"/>
      <c r="OHD67" s="5"/>
      <c r="OHE67" s="5"/>
      <c r="OHF67" s="5"/>
      <c r="OHG67" s="5"/>
      <c r="OHH67" s="5"/>
      <c r="OHI67" s="5"/>
      <c r="OHJ67" s="5"/>
      <c r="OHK67" s="5"/>
      <c r="OHL67" s="5"/>
      <c r="OHM67" s="5"/>
      <c r="OHN67" s="5"/>
      <c r="OHO67" s="5"/>
      <c r="OHP67" s="5"/>
      <c r="OHQ67" s="5"/>
      <c r="OHR67" s="5"/>
      <c r="OHS67" s="5"/>
      <c r="OHT67" s="5"/>
      <c r="OHU67" s="5"/>
      <c r="OHV67" s="5"/>
      <c r="OHW67" s="5"/>
      <c r="OHX67" s="5"/>
      <c r="OHY67" s="5"/>
      <c r="OHZ67" s="5"/>
      <c r="OIA67" s="5"/>
      <c r="OIB67" s="5"/>
      <c r="OIC67" s="5"/>
      <c r="OID67" s="5"/>
      <c r="OIE67" s="5"/>
      <c r="OIF67" s="5"/>
      <c r="OIG67" s="5"/>
      <c r="OIH67" s="5"/>
      <c r="OII67" s="5"/>
      <c r="OIJ67" s="5"/>
      <c r="OIK67" s="5"/>
      <c r="OIL67" s="5"/>
      <c r="OIM67" s="5"/>
      <c r="OIN67" s="5"/>
      <c r="OIO67" s="5"/>
      <c r="OIP67" s="5"/>
      <c r="OIQ67" s="5"/>
      <c r="OIR67" s="5"/>
      <c r="OIS67" s="5"/>
      <c r="OIT67" s="5"/>
      <c r="OIU67" s="5"/>
      <c r="OIV67" s="5"/>
      <c r="OIW67" s="5"/>
      <c r="OIX67" s="5"/>
      <c r="OIY67" s="5"/>
      <c r="OIZ67" s="5"/>
      <c r="OJA67" s="5"/>
      <c r="OJB67" s="5"/>
      <c r="OJC67" s="5"/>
      <c r="OJD67" s="5"/>
      <c r="OJE67" s="5"/>
      <c r="OJF67" s="5"/>
      <c r="OJG67" s="5"/>
      <c r="OJH67" s="5"/>
      <c r="OJI67" s="5"/>
      <c r="OJJ67" s="5"/>
      <c r="OJK67" s="5"/>
      <c r="OJL67" s="5"/>
      <c r="OJM67" s="5"/>
      <c r="OJN67" s="5"/>
      <c r="OJO67" s="5"/>
      <c r="OJP67" s="5"/>
      <c r="OJQ67" s="5"/>
      <c r="OJR67" s="5"/>
      <c r="OJS67" s="5"/>
      <c r="OJT67" s="5"/>
      <c r="OJU67" s="5"/>
      <c r="OJV67" s="5"/>
      <c r="OJW67" s="5"/>
      <c r="OJX67" s="5"/>
      <c r="OJY67" s="5"/>
      <c r="OJZ67" s="5"/>
      <c r="OKA67" s="5"/>
      <c r="OKB67" s="5"/>
      <c r="OKC67" s="5"/>
      <c r="OKD67" s="5"/>
      <c r="OKE67" s="5"/>
      <c r="OKF67" s="5"/>
      <c r="OKG67" s="5"/>
      <c r="OKH67" s="5"/>
      <c r="OKI67" s="5"/>
      <c r="OKJ67" s="5"/>
      <c r="OKK67" s="5"/>
      <c r="OKL67" s="5"/>
      <c r="OKM67" s="5"/>
      <c r="OKN67" s="5"/>
      <c r="OKO67" s="5"/>
      <c r="OKP67" s="5"/>
      <c r="OKQ67" s="5"/>
      <c r="OKR67" s="5"/>
      <c r="OKS67" s="5"/>
      <c r="OKT67" s="5"/>
      <c r="OKU67" s="5"/>
      <c r="OKV67" s="5"/>
      <c r="OKW67" s="5"/>
      <c r="OKX67" s="5"/>
      <c r="OKY67" s="5"/>
      <c r="OKZ67" s="5"/>
      <c r="OLA67" s="5"/>
      <c r="OLB67" s="5"/>
      <c r="OLC67" s="5"/>
      <c r="OLD67" s="5"/>
      <c r="OLE67" s="5"/>
      <c r="OLF67" s="5"/>
      <c r="OLG67" s="5"/>
      <c r="OLH67" s="5"/>
      <c r="OLI67" s="5"/>
      <c r="OLJ67" s="5"/>
      <c r="OLK67" s="5"/>
      <c r="OLL67" s="5"/>
      <c r="OLM67" s="5"/>
      <c r="OLN67" s="5"/>
      <c r="OLO67" s="5"/>
      <c r="OLP67" s="5"/>
      <c r="OLQ67" s="5"/>
      <c r="OLR67" s="5"/>
      <c r="OLS67" s="5"/>
      <c r="OLT67" s="5"/>
      <c r="OLU67" s="5"/>
      <c r="OLV67" s="5"/>
      <c r="OLW67" s="5"/>
      <c r="OLX67" s="5"/>
      <c r="OLY67" s="5"/>
      <c r="OLZ67" s="5"/>
      <c r="OMA67" s="5"/>
      <c r="OMB67" s="5"/>
      <c r="OMC67" s="5"/>
      <c r="OMD67" s="5"/>
      <c r="OME67" s="5"/>
      <c r="OMF67" s="5"/>
      <c r="OMG67" s="5"/>
      <c r="OMH67" s="5"/>
      <c r="OMI67" s="5"/>
      <c r="OMJ67" s="5"/>
      <c r="OMK67" s="5"/>
      <c r="OML67" s="5"/>
      <c r="OMM67" s="5"/>
      <c r="OMN67" s="5"/>
      <c r="OMO67" s="5"/>
      <c r="OMP67" s="5"/>
      <c r="OMQ67" s="5"/>
      <c r="OMR67" s="5"/>
      <c r="OMS67" s="5"/>
      <c r="OMT67" s="5"/>
      <c r="OMU67" s="5"/>
      <c r="OMV67" s="5"/>
      <c r="OMW67" s="5"/>
      <c r="OMX67" s="5"/>
      <c r="OMY67" s="5"/>
      <c r="OMZ67" s="5"/>
      <c r="ONA67" s="5"/>
      <c r="ONB67" s="5"/>
      <c r="ONC67" s="5"/>
      <c r="OND67" s="5"/>
      <c r="ONE67" s="5"/>
      <c r="ONF67" s="5"/>
      <c r="ONG67" s="5"/>
      <c r="ONH67" s="5"/>
      <c r="ONI67" s="5"/>
      <c r="ONJ67" s="5"/>
      <c r="ONK67" s="5"/>
      <c r="ONL67" s="5"/>
      <c r="ONM67" s="5"/>
      <c r="ONN67" s="5"/>
      <c r="ONO67" s="5"/>
      <c r="ONP67" s="5"/>
      <c r="ONQ67" s="5"/>
      <c r="ONR67" s="5"/>
      <c r="ONS67" s="5"/>
      <c r="ONT67" s="5"/>
      <c r="ONU67" s="5"/>
      <c r="ONV67" s="5"/>
      <c r="ONW67" s="5"/>
      <c r="ONX67" s="5"/>
      <c r="ONY67" s="5"/>
      <c r="ONZ67" s="5"/>
      <c r="OOA67" s="5"/>
      <c r="OOB67" s="5"/>
      <c r="OOC67" s="5"/>
      <c r="OOD67" s="5"/>
      <c r="OOE67" s="5"/>
      <c r="OOF67" s="5"/>
      <c r="OOG67" s="5"/>
      <c r="OOH67" s="5"/>
      <c r="OOI67" s="5"/>
      <c r="OOJ67" s="5"/>
      <c r="OOK67" s="5"/>
      <c r="OOL67" s="5"/>
      <c r="OOM67" s="5"/>
      <c r="OON67" s="5"/>
      <c r="OOO67" s="5"/>
      <c r="OOP67" s="5"/>
      <c r="OOQ67" s="5"/>
      <c r="OOR67" s="5"/>
      <c r="OOS67" s="5"/>
      <c r="OOT67" s="5"/>
      <c r="OOU67" s="5"/>
      <c r="OOV67" s="5"/>
      <c r="OOW67" s="5"/>
      <c r="OOX67" s="5"/>
      <c r="OOY67" s="5"/>
      <c r="OOZ67" s="5"/>
      <c r="OPA67" s="5"/>
      <c r="OPB67" s="5"/>
      <c r="OPC67" s="5"/>
      <c r="OPD67" s="5"/>
      <c r="OPE67" s="5"/>
      <c r="OPF67" s="5"/>
      <c r="OPG67" s="5"/>
      <c r="OPH67" s="5"/>
      <c r="OPI67" s="5"/>
      <c r="OPJ67" s="5"/>
      <c r="OPK67" s="5"/>
      <c r="OPL67" s="5"/>
      <c r="OPM67" s="5"/>
      <c r="OPN67" s="5"/>
      <c r="OPO67" s="5"/>
      <c r="OPP67" s="5"/>
      <c r="OPQ67" s="5"/>
      <c r="OPR67" s="5"/>
      <c r="OPS67" s="5"/>
      <c r="OPT67" s="5"/>
      <c r="OPU67" s="5"/>
      <c r="OPV67" s="5"/>
      <c r="OPW67" s="5"/>
      <c r="OPX67" s="5"/>
      <c r="OPY67" s="5"/>
      <c r="OPZ67" s="5"/>
      <c r="OQA67" s="5"/>
      <c r="OQB67" s="5"/>
      <c r="OQC67" s="5"/>
      <c r="OQD67" s="5"/>
      <c r="OQE67" s="5"/>
      <c r="OQF67" s="5"/>
      <c r="OQG67" s="5"/>
      <c r="OQH67" s="5"/>
      <c r="OQI67" s="5"/>
      <c r="OQJ67" s="5"/>
      <c r="OQK67" s="5"/>
      <c r="OQL67" s="5"/>
      <c r="OQM67" s="5"/>
      <c r="OQN67" s="5"/>
      <c r="OQO67" s="5"/>
      <c r="OQP67" s="5"/>
      <c r="OQQ67" s="5"/>
      <c r="OQR67" s="5"/>
      <c r="OQS67" s="5"/>
      <c r="OQT67" s="5"/>
      <c r="OQU67" s="5"/>
      <c r="OQV67" s="5"/>
      <c r="OQW67" s="5"/>
      <c r="OQX67" s="5"/>
      <c r="OQY67" s="5"/>
      <c r="OQZ67" s="5"/>
      <c r="ORA67" s="5"/>
      <c r="ORB67" s="5"/>
      <c r="ORC67" s="5"/>
      <c r="ORD67" s="5"/>
      <c r="ORE67" s="5"/>
      <c r="ORF67" s="5"/>
      <c r="ORG67" s="5"/>
      <c r="ORH67" s="5"/>
      <c r="ORI67" s="5"/>
      <c r="ORJ67" s="5"/>
      <c r="ORK67" s="5"/>
      <c r="ORL67" s="5"/>
      <c r="ORM67" s="5"/>
      <c r="ORN67" s="5"/>
      <c r="ORO67" s="5"/>
      <c r="ORP67" s="5"/>
      <c r="ORQ67" s="5"/>
      <c r="ORR67" s="5"/>
      <c r="ORS67" s="5"/>
      <c r="ORT67" s="5"/>
      <c r="ORU67" s="5"/>
      <c r="ORV67" s="5"/>
      <c r="ORW67" s="5"/>
      <c r="ORX67" s="5"/>
      <c r="ORY67" s="5"/>
      <c r="ORZ67" s="5"/>
      <c r="OSA67" s="5"/>
      <c r="OSB67" s="5"/>
      <c r="OSC67" s="5"/>
      <c r="OSD67" s="5"/>
      <c r="OSE67" s="5"/>
      <c r="OSF67" s="5"/>
      <c r="OSG67" s="5"/>
      <c r="OSH67" s="5"/>
      <c r="OSI67" s="5"/>
      <c r="OSJ67" s="5"/>
      <c r="OSK67" s="5"/>
      <c r="OSL67" s="5"/>
      <c r="OSM67" s="5"/>
      <c r="OSN67" s="5"/>
      <c r="OSO67" s="5"/>
      <c r="OSP67" s="5"/>
      <c r="OSQ67" s="5"/>
      <c r="OSR67" s="5"/>
      <c r="OSS67" s="5"/>
      <c r="OST67" s="5"/>
      <c r="OSU67" s="5"/>
      <c r="OSV67" s="5"/>
      <c r="OSW67" s="5"/>
      <c r="OSX67" s="5"/>
      <c r="OSY67" s="5"/>
      <c r="OSZ67" s="5"/>
      <c r="OTA67" s="5"/>
      <c r="OTB67" s="5"/>
      <c r="OTC67" s="5"/>
      <c r="OTD67" s="5"/>
      <c r="OTE67" s="5"/>
      <c r="OTF67" s="5"/>
      <c r="OTG67" s="5"/>
      <c r="OTH67" s="5"/>
      <c r="OTI67" s="5"/>
      <c r="OTJ67" s="5"/>
      <c r="OTK67" s="5"/>
      <c r="OTL67" s="5"/>
      <c r="OTM67" s="5"/>
      <c r="OTN67" s="5"/>
      <c r="OTO67" s="5"/>
      <c r="OTP67" s="5"/>
      <c r="OTQ67" s="5"/>
      <c r="OTR67" s="5"/>
      <c r="OTS67" s="5"/>
      <c r="OTT67" s="5"/>
      <c r="OTU67" s="5"/>
      <c r="OTV67" s="5"/>
      <c r="OTW67" s="5"/>
      <c r="OTX67" s="5"/>
      <c r="OTY67" s="5"/>
      <c r="OTZ67" s="5"/>
      <c r="OUA67" s="5"/>
      <c r="OUB67" s="5"/>
      <c r="OUC67" s="5"/>
      <c r="OUD67" s="5"/>
      <c r="OUE67" s="5"/>
      <c r="OUF67" s="5"/>
      <c r="OUG67" s="5"/>
      <c r="OUH67" s="5"/>
      <c r="OUI67" s="5"/>
      <c r="OUJ67" s="5"/>
      <c r="OUK67" s="5"/>
      <c r="OUL67" s="5"/>
      <c r="OUM67" s="5"/>
      <c r="OUN67" s="5"/>
      <c r="OUO67" s="5"/>
      <c r="OUP67" s="5"/>
      <c r="OUQ67" s="5"/>
      <c r="OUR67" s="5"/>
      <c r="OUS67" s="5"/>
      <c r="OUT67" s="5"/>
      <c r="OUU67" s="5"/>
      <c r="OUV67" s="5"/>
      <c r="OUW67" s="5"/>
      <c r="OUX67" s="5"/>
      <c r="OUY67" s="5"/>
      <c r="OUZ67" s="5"/>
      <c r="OVA67" s="5"/>
      <c r="OVB67" s="5"/>
      <c r="OVC67" s="5"/>
      <c r="OVD67" s="5"/>
      <c r="OVE67" s="5"/>
      <c r="OVF67" s="5"/>
      <c r="OVG67" s="5"/>
      <c r="OVH67" s="5"/>
      <c r="OVI67" s="5"/>
      <c r="OVJ67" s="5"/>
      <c r="OVK67" s="5"/>
      <c r="OVL67" s="5"/>
      <c r="OVM67" s="5"/>
      <c r="OVN67" s="5"/>
      <c r="OVO67" s="5"/>
      <c r="OVP67" s="5"/>
      <c r="OVQ67" s="5"/>
      <c r="OVR67" s="5"/>
      <c r="OVS67" s="5"/>
      <c r="OVT67" s="5"/>
      <c r="OVU67" s="5"/>
      <c r="OVV67" s="5"/>
      <c r="OVW67" s="5"/>
      <c r="OVX67" s="5"/>
      <c r="OVY67" s="5"/>
      <c r="OVZ67" s="5"/>
      <c r="OWA67" s="5"/>
      <c r="OWB67" s="5"/>
      <c r="OWC67" s="5"/>
      <c r="OWD67" s="5"/>
      <c r="OWE67" s="5"/>
      <c r="OWF67" s="5"/>
      <c r="OWG67" s="5"/>
      <c r="OWH67" s="5"/>
      <c r="OWI67" s="5"/>
      <c r="OWJ67" s="5"/>
      <c r="OWK67" s="5"/>
      <c r="OWL67" s="5"/>
      <c r="OWM67" s="5"/>
      <c r="OWN67" s="5"/>
      <c r="OWO67" s="5"/>
      <c r="OWP67" s="5"/>
      <c r="OWQ67" s="5"/>
      <c r="OWR67" s="5"/>
      <c r="OWS67" s="5"/>
      <c r="OWT67" s="5"/>
      <c r="OWU67" s="5"/>
      <c r="OWV67" s="5"/>
      <c r="OWW67" s="5"/>
      <c r="OWX67" s="5"/>
      <c r="OWY67" s="5"/>
      <c r="OWZ67" s="5"/>
      <c r="OXA67" s="5"/>
      <c r="OXB67" s="5"/>
      <c r="OXC67" s="5"/>
      <c r="OXD67" s="5"/>
      <c r="OXE67" s="5"/>
      <c r="OXF67" s="5"/>
      <c r="OXG67" s="5"/>
      <c r="OXH67" s="5"/>
      <c r="OXI67" s="5"/>
      <c r="OXJ67" s="5"/>
      <c r="OXK67" s="5"/>
      <c r="OXL67" s="5"/>
      <c r="OXM67" s="5"/>
      <c r="OXN67" s="5"/>
      <c r="OXO67" s="5"/>
      <c r="OXP67" s="5"/>
      <c r="OXQ67" s="5"/>
      <c r="OXR67" s="5"/>
      <c r="OXS67" s="5"/>
      <c r="OXT67" s="5"/>
      <c r="OXU67" s="5"/>
      <c r="OXV67" s="5"/>
      <c r="OXW67" s="5"/>
      <c r="OXX67" s="5"/>
      <c r="OXY67" s="5"/>
      <c r="OXZ67" s="5"/>
      <c r="OYA67" s="5"/>
      <c r="OYB67" s="5"/>
      <c r="OYC67" s="5"/>
      <c r="OYD67" s="5"/>
      <c r="OYE67" s="5"/>
      <c r="OYF67" s="5"/>
      <c r="OYG67" s="5"/>
      <c r="OYH67" s="5"/>
      <c r="OYI67" s="5"/>
      <c r="OYJ67" s="5"/>
      <c r="OYK67" s="5"/>
      <c r="OYL67" s="5"/>
      <c r="OYM67" s="5"/>
      <c r="OYN67" s="5"/>
      <c r="OYO67" s="5"/>
      <c r="OYP67" s="5"/>
      <c r="OYQ67" s="5"/>
      <c r="OYR67" s="5"/>
      <c r="OYS67" s="5"/>
      <c r="OYT67" s="5"/>
      <c r="OYU67" s="5"/>
      <c r="OYV67" s="5"/>
      <c r="OYW67" s="5"/>
      <c r="OYX67" s="5"/>
      <c r="OYY67" s="5"/>
      <c r="OYZ67" s="5"/>
      <c r="OZA67" s="5"/>
      <c r="OZB67" s="5"/>
      <c r="OZC67" s="5"/>
      <c r="OZD67" s="5"/>
      <c r="OZE67" s="5"/>
      <c r="OZF67" s="5"/>
      <c r="OZG67" s="5"/>
      <c r="OZH67" s="5"/>
      <c r="OZI67" s="5"/>
      <c r="OZJ67" s="5"/>
      <c r="OZK67" s="5"/>
      <c r="OZL67" s="5"/>
      <c r="OZM67" s="5"/>
      <c r="OZN67" s="5"/>
      <c r="OZO67" s="5"/>
      <c r="OZP67" s="5"/>
      <c r="OZQ67" s="5"/>
      <c r="OZR67" s="5"/>
      <c r="OZS67" s="5"/>
      <c r="OZT67" s="5"/>
      <c r="OZU67" s="5"/>
      <c r="OZV67" s="5"/>
      <c r="OZW67" s="5"/>
      <c r="OZX67" s="5"/>
      <c r="OZY67" s="5"/>
      <c r="OZZ67" s="5"/>
      <c r="PAA67" s="5"/>
      <c r="PAB67" s="5"/>
      <c r="PAC67" s="5"/>
      <c r="PAD67" s="5"/>
      <c r="PAE67" s="5"/>
      <c r="PAF67" s="5"/>
      <c r="PAG67" s="5"/>
      <c r="PAH67" s="5"/>
      <c r="PAI67" s="5"/>
      <c r="PAJ67" s="5"/>
      <c r="PAK67" s="5"/>
      <c r="PAL67" s="5"/>
      <c r="PAM67" s="5"/>
      <c r="PAN67" s="5"/>
      <c r="PAO67" s="5"/>
      <c r="PAP67" s="5"/>
      <c r="PAQ67" s="5"/>
      <c r="PAR67" s="5"/>
      <c r="PAS67" s="5"/>
      <c r="PAT67" s="5"/>
      <c r="PAU67" s="5"/>
      <c r="PAV67" s="5"/>
      <c r="PAW67" s="5"/>
      <c r="PAX67" s="5"/>
      <c r="PAY67" s="5"/>
      <c r="PAZ67" s="5"/>
      <c r="PBA67" s="5"/>
      <c r="PBB67" s="5"/>
      <c r="PBC67" s="5"/>
      <c r="PBD67" s="5"/>
      <c r="PBE67" s="5"/>
      <c r="PBF67" s="5"/>
      <c r="PBG67" s="5"/>
      <c r="PBH67" s="5"/>
      <c r="PBI67" s="5"/>
      <c r="PBJ67" s="5"/>
      <c r="PBK67" s="5"/>
      <c r="PBL67" s="5"/>
      <c r="PBM67" s="5"/>
      <c r="PBN67" s="5"/>
      <c r="PBO67" s="5"/>
      <c r="PBP67" s="5"/>
      <c r="PBQ67" s="5"/>
      <c r="PBR67" s="5"/>
      <c r="PBS67" s="5"/>
      <c r="PBT67" s="5"/>
      <c r="PBU67" s="5"/>
      <c r="PBV67" s="5"/>
      <c r="PBW67" s="5"/>
      <c r="PBX67" s="5"/>
      <c r="PBY67" s="5"/>
      <c r="PBZ67" s="5"/>
      <c r="PCA67" s="5"/>
      <c r="PCB67" s="5"/>
      <c r="PCC67" s="5"/>
      <c r="PCD67" s="5"/>
      <c r="PCE67" s="5"/>
      <c r="PCF67" s="5"/>
      <c r="PCG67" s="5"/>
      <c r="PCH67" s="5"/>
      <c r="PCI67" s="5"/>
      <c r="PCJ67" s="5"/>
      <c r="PCK67" s="5"/>
      <c r="PCL67" s="5"/>
      <c r="PCM67" s="5"/>
      <c r="PCN67" s="5"/>
      <c r="PCO67" s="5"/>
      <c r="PCP67" s="5"/>
      <c r="PCQ67" s="5"/>
      <c r="PCR67" s="5"/>
      <c r="PCS67" s="5"/>
      <c r="PCT67" s="5"/>
      <c r="PCU67" s="5"/>
      <c r="PCV67" s="5"/>
      <c r="PCW67" s="5"/>
      <c r="PCX67" s="5"/>
      <c r="PCY67" s="5"/>
      <c r="PCZ67" s="5"/>
      <c r="PDA67" s="5"/>
      <c r="PDB67" s="5"/>
      <c r="PDC67" s="5"/>
      <c r="PDD67" s="5"/>
      <c r="PDE67" s="5"/>
      <c r="PDF67" s="5"/>
      <c r="PDG67" s="5"/>
      <c r="PDH67" s="5"/>
      <c r="PDI67" s="5"/>
      <c r="PDJ67" s="5"/>
      <c r="PDK67" s="5"/>
      <c r="PDL67" s="5"/>
      <c r="PDM67" s="5"/>
      <c r="PDN67" s="5"/>
      <c r="PDO67" s="5"/>
      <c r="PDP67" s="5"/>
      <c r="PDQ67" s="5"/>
      <c r="PDR67" s="5"/>
      <c r="PDS67" s="5"/>
      <c r="PDT67" s="5"/>
      <c r="PDU67" s="5"/>
      <c r="PDV67" s="5"/>
      <c r="PDW67" s="5"/>
      <c r="PDX67" s="5"/>
      <c r="PDY67" s="5"/>
      <c r="PDZ67" s="5"/>
      <c r="PEA67" s="5"/>
      <c r="PEB67" s="5"/>
      <c r="PEC67" s="5"/>
      <c r="PED67" s="5"/>
      <c r="PEE67" s="5"/>
      <c r="PEF67" s="5"/>
      <c r="PEG67" s="5"/>
      <c r="PEH67" s="5"/>
      <c r="PEI67" s="5"/>
      <c r="PEJ67" s="5"/>
      <c r="PEK67" s="5"/>
      <c r="PEL67" s="5"/>
      <c r="PEM67" s="5"/>
      <c r="PEN67" s="5"/>
      <c r="PEO67" s="5"/>
      <c r="PEP67" s="5"/>
      <c r="PEQ67" s="5"/>
      <c r="PER67" s="5"/>
      <c r="PES67" s="5"/>
      <c r="PET67" s="5"/>
      <c r="PEU67" s="5"/>
      <c r="PEV67" s="5"/>
      <c r="PEW67" s="5"/>
      <c r="PEX67" s="5"/>
      <c r="PEY67" s="5"/>
      <c r="PEZ67" s="5"/>
      <c r="PFA67" s="5"/>
      <c r="PFB67" s="5"/>
      <c r="PFC67" s="5"/>
      <c r="PFD67" s="5"/>
      <c r="PFE67" s="5"/>
      <c r="PFF67" s="5"/>
      <c r="PFG67" s="5"/>
      <c r="PFH67" s="5"/>
      <c r="PFI67" s="5"/>
      <c r="PFJ67" s="5"/>
      <c r="PFK67" s="5"/>
      <c r="PFL67" s="5"/>
      <c r="PFM67" s="5"/>
      <c r="PFN67" s="5"/>
      <c r="PFO67" s="5"/>
      <c r="PFP67" s="5"/>
      <c r="PFQ67" s="5"/>
      <c r="PFR67" s="5"/>
      <c r="PFS67" s="5"/>
      <c r="PFT67" s="5"/>
      <c r="PFU67" s="5"/>
      <c r="PFV67" s="5"/>
      <c r="PFW67" s="5"/>
      <c r="PFX67" s="5"/>
      <c r="PFY67" s="5"/>
      <c r="PFZ67" s="5"/>
      <c r="PGA67" s="5"/>
      <c r="PGB67" s="5"/>
      <c r="PGC67" s="5"/>
      <c r="PGD67" s="5"/>
      <c r="PGE67" s="5"/>
      <c r="PGF67" s="5"/>
      <c r="PGG67" s="5"/>
      <c r="PGH67" s="5"/>
      <c r="PGI67" s="5"/>
      <c r="PGJ67" s="5"/>
      <c r="PGK67" s="5"/>
      <c r="PGL67" s="5"/>
      <c r="PGM67" s="5"/>
      <c r="PGN67" s="5"/>
      <c r="PGO67" s="5"/>
      <c r="PGP67" s="5"/>
      <c r="PGQ67" s="5"/>
      <c r="PGR67" s="5"/>
      <c r="PGS67" s="5"/>
      <c r="PGT67" s="5"/>
      <c r="PGU67" s="5"/>
      <c r="PGV67" s="5"/>
      <c r="PGW67" s="5"/>
      <c r="PGX67" s="5"/>
      <c r="PGY67" s="5"/>
      <c r="PGZ67" s="5"/>
      <c r="PHA67" s="5"/>
      <c r="PHB67" s="5"/>
      <c r="PHC67" s="5"/>
      <c r="PHD67" s="5"/>
      <c r="PHE67" s="5"/>
      <c r="PHF67" s="5"/>
      <c r="PHG67" s="5"/>
      <c r="PHH67" s="5"/>
      <c r="PHI67" s="5"/>
      <c r="PHJ67" s="5"/>
      <c r="PHK67" s="5"/>
      <c r="PHL67" s="5"/>
      <c r="PHM67" s="5"/>
      <c r="PHN67" s="5"/>
      <c r="PHO67" s="5"/>
      <c r="PHP67" s="5"/>
      <c r="PHQ67" s="5"/>
      <c r="PHR67" s="5"/>
      <c r="PHS67" s="5"/>
      <c r="PHT67" s="5"/>
      <c r="PHU67" s="5"/>
      <c r="PHV67" s="5"/>
      <c r="PHW67" s="5"/>
      <c r="PHX67" s="5"/>
      <c r="PHY67" s="5"/>
      <c r="PHZ67" s="5"/>
      <c r="PIA67" s="5"/>
      <c r="PIB67" s="5"/>
      <c r="PIC67" s="5"/>
      <c r="PID67" s="5"/>
      <c r="PIE67" s="5"/>
      <c r="PIF67" s="5"/>
      <c r="PIG67" s="5"/>
      <c r="PIH67" s="5"/>
      <c r="PII67" s="5"/>
      <c r="PIJ67" s="5"/>
      <c r="PIK67" s="5"/>
      <c r="PIL67" s="5"/>
      <c r="PIM67" s="5"/>
      <c r="PIN67" s="5"/>
      <c r="PIO67" s="5"/>
      <c r="PIP67" s="5"/>
      <c r="PIQ67" s="5"/>
      <c r="PIR67" s="5"/>
      <c r="PIS67" s="5"/>
      <c r="PIT67" s="5"/>
      <c r="PIU67" s="5"/>
      <c r="PIV67" s="5"/>
      <c r="PIW67" s="5"/>
      <c r="PIX67" s="5"/>
      <c r="PIY67" s="5"/>
      <c r="PIZ67" s="5"/>
      <c r="PJA67" s="5"/>
      <c r="PJB67" s="5"/>
      <c r="PJC67" s="5"/>
      <c r="PJD67" s="5"/>
      <c r="PJE67" s="5"/>
      <c r="PJF67" s="5"/>
      <c r="PJG67" s="5"/>
      <c r="PJH67" s="5"/>
      <c r="PJI67" s="5"/>
      <c r="PJJ67" s="5"/>
      <c r="PJK67" s="5"/>
      <c r="PJL67" s="5"/>
      <c r="PJM67" s="5"/>
      <c r="PJN67" s="5"/>
      <c r="PJO67" s="5"/>
      <c r="PJP67" s="5"/>
      <c r="PJQ67" s="5"/>
      <c r="PJR67" s="5"/>
      <c r="PJS67" s="5"/>
      <c r="PJT67" s="5"/>
      <c r="PJU67" s="5"/>
      <c r="PJV67" s="5"/>
      <c r="PJW67" s="5"/>
      <c r="PJX67" s="5"/>
      <c r="PJY67" s="5"/>
      <c r="PJZ67" s="5"/>
      <c r="PKA67" s="5"/>
      <c r="PKB67" s="5"/>
      <c r="PKC67" s="5"/>
      <c r="PKD67" s="5"/>
      <c r="PKE67" s="5"/>
      <c r="PKF67" s="5"/>
      <c r="PKG67" s="5"/>
      <c r="PKH67" s="5"/>
      <c r="PKI67" s="5"/>
      <c r="PKJ67" s="5"/>
      <c r="PKK67" s="5"/>
      <c r="PKL67" s="5"/>
      <c r="PKM67" s="5"/>
      <c r="PKN67" s="5"/>
      <c r="PKO67" s="5"/>
      <c r="PKP67" s="5"/>
      <c r="PKQ67" s="5"/>
      <c r="PKR67" s="5"/>
      <c r="PKS67" s="5"/>
      <c r="PKT67" s="5"/>
      <c r="PKU67" s="5"/>
      <c r="PKV67" s="5"/>
      <c r="PKW67" s="5"/>
      <c r="PKX67" s="5"/>
      <c r="PKY67" s="5"/>
      <c r="PKZ67" s="5"/>
      <c r="PLA67" s="5"/>
      <c r="PLB67" s="5"/>
      <c r="PLC67" s="5"/>
      <c r="PLD67" s="5"/>
      <c r="PLE67" s="5"/>
      <c r="PLF67" s="5"/>
      <c r="PLG67" s="5"/>
      <c r="PLH67" s="5"/>
      <c r="PLI67" s="5"/>
      <c r="PLJ67" s="5"/>
      <c r="PLK67" s="5"/>
      <c r="PLL67" s="5"/>
      <c r="PLM67" s="5"/>
      <c r="PLN67" s="5"/>
      <c r="PLO67" s="5"/>
      <c r="PLP67" s="5"/>
      <c r="PLQ67" s="5"/>
      <c r="PLR67" s="5"/>
      <c r="PLS67" s="5"/>
      <c r="PLT67" s="5"/>
      <c r="PLU67" s="5"/>
      <c r="PLV67" s="5"/>
      <c r="PLW67" s="5"/>
      <c r="PLX67" s="5"/>
      <c r="PLY67" s="5"/>
      <c r="PLZ67" s="5"/>
      <c r="PMA67" s="5"/>
      <c r="PMB67" s="5"/>
      <c r="PMC67" s="5"/>
      <c r="PMD67" s="5"/>
      <c r="PME67" s="5"/>
      <c r="PMF67" s="5"/>
      <c r="PMG67" s="5"/>
      <c r="PMH67" s="5"/>
      <c r="PMI67" s="5"/>
      <c r="PMJ67" s="5"/>
      <c r="PMK67" s="5"/>
      <c r="PML67" s="5"/>
      <c r="PMM67" s="5"/>
      <c r="PMN67" s="5"/>
      <c r="PMO67" s="5"/>
      <c r="PMP67" s="5"/>
      <c r="PMQ67" s="5"/>
      <c r="PMR67" s="5"/>
      <c r="PMS67" s="5"/>
      <c r="PMT67" s="5"/>
      <c r="PMU67" s="5"/>
      <c r="PMV67" s="5"/>
      <c r="PMW67" s="5"/>
      <c r="PMX67" s="5"/>
      <c r="PMY67" s="5"/>
      <c r="PMZ67" s="5"/>
      <c r="PNA67" s="5"/>
      <c r="PNB67" s="5"/>
      <c r="PNC67" s="5"/>
      <c r="PND67" s="5"/>
      <c r="PNE67" s="5"/>
      <c r="PNF67" s="5"/>
      <c r="PNG67" s="5"/>
      <c r="PNH67" s="5"/>
      <c r="PNI67" s="5"/>
      <c r="PNJ67" s="5"/>
      <c r="PNK67" s="5"/>
      <c r="PNL67" s="5"/>
      <c r="PNM67" s="5"/>
      <c r="PNN67" s="5"/>
      <c r="PNO67" s="5"/>
      <c r="PNP67" s="5"/>
      <c r="PNQ67" s="5"/>
      <c r="PNR67" s="5"/>
      <c r="PNS67" s="5"/>
      <c r="PNT67" s="5"/>
      <c r="PNU67" s="5"/>
      <c r="PNV67" s="5"/>
      <c r="PNW67" s="5"/>
      <c r="PNX67" s="5"/>
      <c r="PNY67" s="5"/>
      <c r="PNZ67" s="5"/>
      <c r="POA67" s="5"/>
      <c r="POB67" s="5"/>
      <c r="POC67" s="5"/>
      <c r="POD67" s="5"/>
      <c r="POE67" s="5"/>
      <c r="POF67" s="5"/>
      <c r="POG67" s="5"/>
      <c r="POH67" s="5"/>
      <c r="POI67" s="5"/>
      <c r="POJ67" s="5"/>
      <c r="POK67" s="5"/>
      <c r="POL67" s="5"/>
      <c r="POM67" s="5"/>
      <c r="PON67" s="5"/>
      <c r="POO67" s="5"/>
      <c r="POP67" s="5"/>
      <c r="POQ67" s="5"/>
      <c r="POR67" s="5"/>
      <c r="POS67" s="5"/>
      <c r="POT67" s="5"/>
      <c r="POU67" s="5"/>
      <c r="POV67" s="5"/>
      <c r="POW67" s="5"/>
      <c r="POX67" s="5"/>
      <c r="POY67" s="5"/>
      <c r="POZ67" s="5"/>
      <c r="PPA67" s="5"/>
      <c r="PPB67" s="5"/>
      <c r="PPC67" s="5"/>
      <c r="PPD67" s="5"/>
      <c r="PPE67" s="5"/>
      <c r="PPF67" s="5"/>
      <c r="PPG67" s="5"/>
      <c r="PPH67" s="5"/>
      <c r="PPI67" s="5"/>
      <c r="PPJ67" s="5"/>
      <c r="PPK67" s="5"/>
      <c r="PPL67" s="5"/>
      <c r="PPM67" s="5"/>
      <c r="PPN67" s="5"/>
      <c r="PPO67" s="5"/>
      <c r="PPP67" s="5"/>
      <c r="PPQ67" s="5"/>
      <c r="PPR67" s="5"/>
      <c r="PPS67" s="5"/>
      <c r="PPT67" s="5"/>
      <c r="PPU67" s="5"/>
      <c r="PPV67" s="5"/>
      <c r="PPW67" s="5"/>
      <c r="PPX67" s="5"/>
      <c r="PPY67" s="5"/>
      <c r="PPZ67" s="5"/>
      <c r="PQA67" s="5"/>
      <c r="PQB67" s="5"/>
      <c r="PQC67" s="5"/>
      <c r="PQD67" s="5"/>
      <c r="PQE67" s="5"/>
      <c r="PQF67" s="5"/>
      <c r="PQG67" s="5"/>
      <c r="PQH67" s="5"/>
      <c r="PQI67" s="5"/>
      <c r="PQJ67" s="5"/>
      <c r="PQK67" s="5"/>
      <c r="PQL67" s="5"/>
      <c r="PQM67" s="5"/>
      <c r="PQN67" s="5"/>
      <c r="PQO67" s="5"/>
      <c r="PQP67" s="5"/>
      <c r="PQQ67" s="5"/>
      <c r="PQR67" s="5"/>
      <c r="PQS67" s="5"/>
      <c r="PQT67" s="5"/>
      <c r="PQU67" s="5"/>
      <c r="PQV67" s="5"/>
      <c r="PQW67" s="5"/>
      <c r="PQX67" s="5"/>
      <c r="PQY67" s="5"/>
      <c r="PQZ67" s="5"/>
      <c r="PRA67" s="5"/>
      <c r="PRB67" s="5"/>
      <c r="PRC67" s="5"/>
      <c r="PRD67" s="5"/>
      <c r="PRE67" s="5"/>
      <c r="PRF67" s="5"/>
      <c r="PRG67" s="5"/>
      <c r="PRH67" s="5"/>
      <c r="PRI67" s="5"/>
      <c r="PRJ67" s="5"/>
      <c r="PRK67" s="5"/>
      <c r="PRL67" s="5"/>
      <c r="PRM67" s="5"/>
      <c r="PRN67" s="5"/>
      <c r="PRO67" s="5"/>
      <c r="PRP67" s="5"/>
      <c r="PRQ67" s="5"/>
      <c r="PRR67" s="5"/>
      <c r="PRS67" s="5"/>
      <c r="PRT67" s="5"/>
      <c r="PRU67" s="5"/>
      <c r="PRV67" s="5"/>
      <c r="PRW67" s="5"/>
      <c r="PRX67" s="5"/>
      <c r="PRY67" s="5"/>
      <c r="PRZ67" s="5"/>
      <c r="PSA67" s="5"/>
      <c r="PSB67" s="5"/>
      <c r="PSC67" s="5"/>
      <c r="PSD67" s="5"/>
      <c r="PSE67" s="5"/>
      <c r="PSF67" s="5"/>
      <c r="PSG67" s="5"/>
      <c r="PSH67" s="5"/>
      <c r="PSI67" s="5"/>
      <c r="PSJ67" s="5"/>
      <c r="PSK67" s="5"/>
      <c r="PSL67" s="5"/>
      <c r="PSM67" s="5"/>
      <c r="PSN67" s="5"/>
      <c r="PSO67" s="5"/>
      <c r="PSP67" s="5"/>
      <c r="PSQ67" s="5"/>
      <c r="PSR67" s="5"/>
      <c r="PSS67" s="5"/>
      <c r="PST67" s="5"/>
      <c r="PSU67" s="5"/>
      <c r="PSV67" s="5"/>
      <c r="PSW67" s="5"/>
      <c r="PSX67" s="5"/>
      <c r="PSY67" s="5"/>
      <c r="PSZ67" s="5"/>
      <c r="PTA67" s="5"/>
      <c r="PTB67" s="5"/>
      <c r="PTC67" s="5"/>
      <c r="PTD67" s="5"/>
      <c r="PTE67" s="5"/>
      <c r="PTF67" s="5"/>
      <c r="PTG67" s="5"/>
      <c r="PTH67" s="5"/>
      <c r="PTI67" s="5"/>
      <c r="PTJ67" s="5"/>
      <c r="PTK67" s="5"/>
      <c r="PTL67" s="5"/>
      <c r="PTM67" s="5"/>
      <c r="PTN67" s="5"/>
      <c r="PTO67" s="5"/>
      <c r="PTP67" s="5"/>
      <c r="PTQ67" s="5"/>
      <c r="PTR67" s="5"/>
      <c r="PTS67" s="5"/>
      <c r="PTT67" s="5"/>
      <c r="PTU67" s="5"/>
      <c r="PTV67" s="5"/>
      <c r="PTW67" s="5"/>
      <c r="PTX67" s="5"/>
      <c r="PTY67" s="5"/>
      <c r="PTZ67" s="5"/>
      <c r="PUA67" s="5"/>
      <c r="PUB67" s="5"/>
      <c r="PUC67" s="5"/>
      <c r="PUD67" s="5"/>
      <c r="PUE67" s="5"/>
      <c r="PUF67" s="5"/>
      <c r="PUG67" s="5"/>
      <c r="PUH67" s="5"/>
      <c r="PUI67" s="5"/>
      <c r="PUJ67" s="5"/>
      <c r="PUK67" s="5"/>
      <c r="PUL67" s="5"/>
      <c r="PUM67" s="5"/>
      <c r="PUN67" s="5"/>
      <c r="PUO67" s="5"/>
      <c r="PUP67" s="5"/>
      <c r="PUQ67" s="5"/>
      <c r="PUR67" s="5"/>
      <c r="PUS67" s="5"/>
      <c r="PUT67" s="5"/>
      <c r="PUU67" s="5"/>
      <c r="PUV67" s="5"/>
      <c r="PUW67" s="5"/>
      <c r="PUX67" s="5"/>
      <c r="PUY67" s="5"/>
      <c r="PUZ67" s="5"/>
      <c r="PVA67" s="5"/>
      <c r="PVB67" s="5"/>
      <c r="PVC67" s="5"/>
      <c r="PVD67" s="5"/>
      <c r="PVE67" s="5"/>
      <c r="PVF67" s="5"/>
      <c r="PVG67" s="5"/>
      <c r="PVH67" s="5"/>
      <c r="PVI67" s="5"/>
      <c r="PVJ67" s="5"/>
      <c r="PVK67" s="5"/>
      <c r="PVL67" s="5"/>
      <c r="PVM67" s="5"/>
      <c r="PVN67" s="5"/>
      <c r="PVO67" s="5"/>
      <c r="PVP67" s="5"/>
      <c r="PVQ67" s="5"/>
      <c r="PVR67" s="5"/>
      <c r="PVS67" s="5"/>
      <c r="PVT67" s="5"/>
      <c r="PVU67" s="5"/>
      <c r="PVV67" s="5"/>
      <c r="PVW67" s="5"/>
      <c r="PVX67" s="5"/>
      <c r="PVY67" s="5"/>
      <c r="PVZ67" s="5"/>
      <c r="PWA67" s="5"/>
      <c r="PWB67" s="5"/>
      <c r="PWC67" s="5"/>
      <c r="PWD67" s="5"/>
      <c r="PWE67" s="5"/>
      <c r="PWF67" s="5"/>
      <c r="PWG67" s="5"/>
      <c r="PWH67" s="5"/>
      <c r="PWI67" s="5"/>
      <c r="PWJ67" s="5"/>
      <c r="PWK67" s="5"/>
      <c r="PWL67" s="5"/>
      <c r="PWM67" s="5"/>
      <c r="PWN67" s="5"/>
      <c r="PWO67" s="5"/>
      <c r="PWP67" s="5"/>
      <c r="PWQ67" s="5"/>
      <c r="PWR67" s="5"/>
      <c r="PWS67" s="5"/>
      <c r="PWT67" s="5"/>
      <c r="PWU67" s="5"/>
      <c r="PWV67" s="5"/>
      <c r="PWW67" s="5"/>
      <c r="PWX67" s="5"/>
      <c r="PWY67" s="5"/>
      <c r="PWZ67" s="5"/>
      <c r="PXA67" s="5"/>
      <c r="PXB67" s="5"/>
      <c r="PXC67" s="5"/>
      <c r="PXD67" s="5"/>
      <c r="PXE67" s="5"/>
      <c r="PXF67" s="5"/>
      <c r="PXG67" s="5"/>
      <c r="PXH67" s="5"/>
      <c r="PXI67" s="5"/>
      <c r="PXJ67" s="5"/>
      <c r="PXK67" s="5"/>
      <c r="PXL67" s="5"/>
      <c r="PXM67" s="5"/>
      <c r="PXN67" s="5"/>
      <c r="PXO67" s="5"/>
      <c r="PXP67" s="5"/>
      <c r="PXQ67" s="5"/>
      <c r="PXR67" s="5"/>
      <c r="PXS67" s="5"/>
      <c r="PXT67" s="5"/>
      <c r="PXU67" s="5"/>
      <c r="PXV67" s="5"/>
      <c r="PXW67" s="5"/>
      <c r="PXX67" s="5"/>
      <c r="PXY67" s="5"/>
      <c r="PXZ67" s="5"/>
      <c r="PYA67" s="5"/>
      <c r="PYB67" s="5"/>
      <c r="PYC67" s="5"/>
      <c r="PYD67" s="5"/>
      <c r="PYE67" s="5"/>
      <c r="PYF67" s="5"/>
      <c r="PYG67" s="5"/>
      <c r="PYH67" s="5"/>
      <c r="PYI67" s="5"/>
      <c r="PYJ67" s="5"/>
      <c r="PYK67" s="5"/>
      <c r="PYL67" s="5"/>
      <c r="PYM67" s="5"/>
      <c r="PYN67" s="5"/>
      <c r="PYO67" s="5"/>
      <c r="PYP67" s="5"/>
      <c r="PYQ67" s="5"/>
      <c r="PYR67" s="5"/>
      <c r="PYS67" s="5"/>
      <c r="PYT67" s="5"/>
      <c r="PYU67" s="5"/>
      <c r="PYV67" s="5"/>
      <c r="PYW67" s="5"/>
      <c r="PYX67" s="5"/>
      <c r="PYY67" s="5"/>
      <c r="PYZ67" s="5"/>
      <c r="PZA67" s="5"/>
      <c r="PZB67" s="5"/>
      <c r="PZC67" s="5"/>
      <c r="PZD67" s="5"/>
      <c r="PZE67" s="5"/>
      <c r="PZF67" s="5"/>
      <c r="PZG67" s="5"/>
      <c r="PZH67" s="5"/>
      <c r="PZI67" s="5"/>
      <c r="PZJ67" s="5"/>
      <c r="PZK67" s="5"/>
      <c r="PZL67" s="5"/>
      <c r="PZM67" s="5"/>
      <c r="PZN67" s="5"/>
      <c r="PZO67" s="5"/>
      <c r="PZP67" s="5"/>
      <c r="PZQ67" s="5"/>
      <c r="PZR67" s="5"/>
      <c r="PZS67" s="5"/>
      <c r="PZT67" s="5"/>
      <c r="PZU67" s="5"/>
      <c r="PZV67" s="5"/>
      <c r="PZW67" s="5"/>
      <c r="PZX67" s="5"/>
      <c r="PZY67" s="5"/>
      <c r="PZZ67" s="5"/>
      <c r="QAA67" s="5"/>
      <c r="QAB67" s="5"/>
      <c r="QAC67" s="5"/>
      <c r="QAD67" s="5"/>
      <c r="QAE67" s="5"/>
      <c r="QAF67" s="5"/>
      <c r="QAG67" s="5"/>
      <c r="QAH67" s="5"/>
      <c r="QAI67" s="5"/>
      <c r="QAJ67" s="5"/>
      <c r="QAK67" s="5"/>
      <c r="QAL67" s="5"/>
      <c r="QAM67" s="5"/>
      <c r="QAN67" s="5"/>
      <c r="QAO67" s="5"/>
      <c r="QAP67" s="5"/>
      <c r="QAQ67" s="5"/>
      <c r="QAR67" s="5"/>
      <c r="QAS67" s="5"/>
      <c r="QAT67" s="5"/>
      <c r="QAU67" s="5"/>
      <c r="QAV67" s="5"/>
      <c r="QAW67" s="5"/>
      <c r="QAX67" s="5"/>
      <c r="QAY67" s="5"/>
      <c r="QAZ67" s="5"/>
      <c r="QBA67" s="5"/>
      <c r="QBB67" s="5"/>
      <c r="QBC67" s="5"/>
      <c r="QBD67" s="5"/>
      <c r="QBE67" s="5"/>
      <c r="QBF67" s="5"/>
      <c r="QBG67" s="5"/>
      <c r="QBH67" s="5"/>
      <c r="QBI67" s="5"/>
      <c r="QBJ67" s="5"/>
      <c r="QBK67" s="5"/>
      <c r="QBL67" s="5"/>
      <c r="QBM67" s="5"/>
      <c r="QBN67" s="5"/>
      <c r="QBO67" s="5"/>
      <c r="QBP67" s="5"/>
      <c r="QBQ67" s="5"/>
      <c r="QBR67" s="5"/>
      <c r="QBS67" s="5"/>
      <c r="QBT67" s="5"/>
      <c r="QBU67" s="5"/>
      <c r="QBV67" s="5"/>
      <c r="QBW67" s="5"/>
      <c r="QBX67" s="5"/>
      <c r="QBY67" s="5"/>
      <c r="QBZ67" s="5"/>
      <c r="QCA67" s="5"/>
      <c r="QCB67" s="5"/>
      <c r="QCC67" s="5"/>
      <c r="QCD67" s="5"/>
      <c r="QCE67" s="5"/>
      <c r="QCF67" s="5"/>
      <c r="QCG67" s="5"/>
      <c r="QCH67" s="5"/>
      <c r="QCI67" s="5"/>
      <c r="QCJ67" s="5"/>
      <c r="QCK67" s="5"/>
      <c r="QCL67" s="5"/>
      <c r="QCM67" s="5"/>
      <c r="QCN67" s="5"/>
      <c r="QCO67" s="5"/>
      <c r="QCP67" s="5"/>
      <c r="QCQ67" s="5"/>
      <c r="QCR67" s="5"/>
      <c r="QCS67" s="5"/>
      <c r="QCT67" s="5"/>
      <c r="QCU67" s="5"/>
      <c r="QCV67" s="5"/>
      <c r="QCW67" s="5"/>
      <c r="QCX67" s="5"/>
      <c r="QCY67" s="5"/>
      <c r="QCZ67" s="5"/>
      <c r="QDA67" s="5"/>
      <c r="QDB67" s="5"/>
      <c r="QDC67" s="5"/>
      <c r="QDD67" s="5"/>
      <c r="QDE67" s="5"/>
      <c r="QDF67" s="5"/>
      <c r="QDG67" s="5"/>
      <c r="QDH67" s="5"/>
      <c r="QDI67" s="5"/>
      <c r="QDJ67" s="5"/>
      <c r="QDK67" s="5"/>
      <c r="QDL67" s="5"/>
      <c r="QDM67" s="5"/>
      <c r="QDN67" s="5"/>
      <c r="QDO67" s="5"/>
      <c r="QDP67" s="5"/>
      <c r="QDQ67" s="5"/>
      <c r="QDR67" s="5"/>
      <c r="QDS67" s="5"/>
      <c r="QDT67" s="5"/>
      <c r="QDU67" s="5"/>
      <c r="QDV67" s="5"/>
      <c r="QDW67" s="5"/>
      <c r="QDX67" s="5"/>
      <c r="QDY67" s="5"/>
      <c r="QDZ67" s="5"/>
      <c r="QEA67" s="5"/>
      <c r="QEB67" s="5"/>
      <c r="QEC67" s="5"/>
      <c r="QED67" s="5"/>
      <c r="QEE67" s="5"/>
      <c r="QEF67" s="5"/>
      <c r="QEG67" s="5"/>
      <c r="QEH67" s="5"/>
      <c r="QEI67" s="5"/>
      <c r="QEJ67" s="5"/>
      <c r="QEK67" s="5"/>
      <c r="QEL67" s="5"/>
      <c r="QEM67" s="5"/>
      <c r="QEN67" s="5"/>
      <c r="QEO67" s="5"/>
      <c r="QEP67" s="5"/>
      <c r="QEQ67" s="5"/>
      <c r="QER67" s="5"/>
      <c r="QES67" s="5"/>
      <c r="QET67" s="5"/>
      <c r="QEU67" s="5"/>
      <c r="QEV67" s="5"/>
      <c r="QEW67" s="5"/>
      <c r="QEX67" s="5"/>
      <c r="QEY67" s="5"/>
      <c r="QEZ67" s="5"/>
      <c r="QFA67" s="5"/>
      <c r="QFB67" s="5"/>
      <c r="QFC67" s="5"/>
      <c r="QFD67" s="5"/>
      <c r="QFE67" s="5"/>
      <c r="QFF67" s="5"/>
      <c r="QFG67" s="5"/>
      <c r="QFH67" s="5"/>
      <c r="QFI67" s="5"/>
      <c r="QFJ67" s="5"/>
      <c r="QFK67" s="5"/>
      <c r="QFL67" s="5"/>
      <c r="QFM67" s="5"/>
      <c r="QFN67" s="5"/>
      <c r="QFO67" s="5"/>
      <c r="QFP67" s="5"/>
      <c r="QFQ67" s="5"/>
      <c r="QFR67" s="5"/>
      <c r="QFS67" s="5"/>
      <c r="QFT67" s="5"/>
      <c r="QFU67" s="5"/>
      <c r="QFV67" s="5"/>
      <c r="QFW67" s="5"/>
      <c r="QFX67" s="5"/>
      <c r="QFY67" s="5"/>
      <c r="QFZ67" s="5"/>
      <c r="QGA67" s="5"/>
      <c r="QGB67" s="5"/>
      <c r="QGC67" s="5"/>
      <c r="QGD67" s="5"/>
      <c r="QGE67" s="5"/>
      <c r="QGF67" s="5"/>
      <c r="QGG67" s="5"/>
      <c r="QGH67" s="5"/>
      <c r="QGI67" s="5"/>
      <c r="QGJ67" s="5"/>
      <c r="QGK67" s="5"/>
      <c r="QGL67" s="5"/>
      <c r="QGM67" s="5"/>
      <c r="QGN67" s="5"/>
      <c r="QGO67" s="5"/>
      <c r="QGP67" s="5"/>
      <c r="QGQ67" s="5"/>
      <c r="QGR67" s="5"/>
      <c r="QGS67" s="5"/>
      <c r="QGT67" s="5"/>
      <c r="QGU67" s="5"/>
      <c r="QGV67" s="5"/>
      <c r="QGW67" s="5"/>
      <c r="QGX67" s="5"/>
      <c r="QGY67" s="5"/>
      <c r="QGZ67" s="5"/>
      <c r="QHA67" s="5"/>
      <c r="QHB67" s="5"/>
      <c r="QHC67" s="5"/>
      <c r="QHD67" s="5"/>
      <c r="QHE67" s="5"/>
      <c r="QHF67" s="5"/>
      <c r="QHG67" s="5"/>
      <c r="QHH67" s="5"/>
      <c r="QHI67" s="5"/>
      <c r="QHJ67" s="5"/>
      <c r="QHK67" s="5"/>
      <c r="QHL67" s="5"/>
      <c r="QHM67" s="5"/>
      <c r="QHN67" s="5"/>
      <c r="QHO67" s="5"/>
      <c r="QHP67" s="5"/>
      <c r="QHQ67" s="5"/>
      <c r="QHR67" s="5"/>
      <c r="QHS67" s="5"/>
      <c r="QHT67" s="5"/>
      <c r="QHU67" s="5"/>
      <c r="QHV67" s="5"/>
      <c r="QHW67" s="5"/>
      <c r="QHX67" s="5"/>
      <c r="QHY67" s="5"/>
      <c r="QHZ67" s="5"/>
      <c r="QIA67" s="5"/>
      <c r="QIB67" s="5"/>
      <c r="QIC67" s="5"/>
      <c r="QID67" s="5"/>
      <c r="QIE67" s="5"/>
      <c r="QIF67" s="5"/>
      <c r="QIG67" s="5"/>
      <c r="QIH67" s="5"/>
      <c r="QII67" s="5"/>
      <c r="QIJ67" s="5"/>
      <c r="QIK67" s="5"/>
      <c r="QIL67" s="5"/>
      <c r="QIM67" s="5"/>
      <c r="QIN67" s="5"/>
      <c r="QIO67" s="5"/>
      <c r="QIP67" s="5"/>
      <c r="QIQ67" s="5"/>
      <c r="QIR67" s="5"/>
      <c r="QIS67" s="5"/>
      <c r="QIT67" s="5"/>
      <c r="QIU67" s="5"/>
      <c r="QIV67" s="5"/>
      <c r="QIW67" s="5"/>
      <c r="QIX67" s="5"/>
      <c r="QIY67" s="5"/>
      <c r="QIZ67" s="5"/>
      <c r="QJA67" s="5"/>
      <c r="QJB67" s="5"/>
      <c r="QJC67" s="5"/>
      <c r="QJD67" s="5"/>
      <c r="QJE67" s="5"/>
      <c r="QJF67" s="5"/>
      <c r="QJG67" s="5"/>
      <c r="QJH67" s="5"/>
      <c r="QJI67" s="5"/>
      <c r="QJJ67" s="5"/>
      <c r="QJK67" s="5"/>
      <c r="QJL67" s="5"/>
      <c r="QJM67" s="5"/>
      <c r="QJN67" s="5"/>
      <c r="QJO67" s="5"/>
      <c r="QJP67" s="5"/>
      <c r="QJQ67" s="5"/>
      <c r="QJR67" s="5"/>
      <c r="QJS67" s="5"/>
      <c r="QJT67" s="5"/>
      <c r="QJU67" s="5"/>
      <c r="QJV67" s="5"/>
      <c r="QJW67" s="5"/>
      <c r="QJX67" s="5"/>
      <c r="QJY67" s="5"/>
      <c r="QJZ67" s="5"/>
      <c r="QKA67" s="5"/>
      <c r="QKB67" s="5"/>
      <c r="QKC67" s="5"/>
      <c r="QKD67" s="5"/>
      <c r="QKE67" s="5"/>
      <c r="QKF67" s="5"/>
      <c r="QKG67" s="5"/>
      <c r="QKH67" s="5"/>
      <c r="QKI67" s="5"/>
      <c r="QKJ67" s="5"/>
      <c r="QKK67" s="5"/>
      <c r="QKL67" s="5"/>
      <c r="QKM67" s="5"/>
      <c r="QKN67" s="5"/>
      <c r="QKO67" s="5"/>
      <c r="QKP67" s="5"/>
      <c r="QKQ67" s="5"/>
      <c r="QKR67" s="5"/>
      <c r="QKS67" s="5"/>
      <c r="QKT67" s="5"/>
      <c r="QKU67" s="5"/>
      <c r="QKV67" s="5"/>
      <c r="QKW67" s="5"/>
      <c r="QKX67" s="5"/>
      <c r="QKY67" s="5"/>
      <c r="QKZ67" s="5"/>
      <c r="QLA67" s="5"/>
      <c r="QLB67" s="5"/>
      <c r="QLC67" s="5"/>
      <c r="QLD67" s="5"/>
      <c r="QLE67" s="5"/>
      <c r="QLF67" s="5"/>
      <c r="QLG67" s="5"/>
      <c r="QLH67" s="5"/>
      <c r="QLI67" s="5"/>
      <c r="QLJ67" s="5"/>
      <c r="QLK67" s="5"/>
      <c r="QLL67" s="5"/>
      <c r="QLM67" s="5"/>
      <c r="QLN67" s="5"/>
      <c r="QLO67" s="5"/>
      <c r="QLP67" s="5"/>
      <c r="QLQ67" s="5"/>
      <c r="QLR67" s="5"/>
      <c r="QLS67" s="5"/>
      <c r="QLT67" s="5"/>
      <c r="QLU67" s="5"/>
      <c r="QLV67" s="5"/>
      <c r="QLW67" s="5"/>
      <c r="QLX67" s="5"/>
      <c r="QLY67" s="5"/>
      <c r="QLZ67" s="5"/>
      <c r="QMA67" s="5"/>
      <c r="QMB67" s="5"/>
      <c r="QMC67" s="5"/>
      <c r="QMD67" s="5"/>
      <c r="QME67" s="5"/>
      <c r="QMF67" s="5"/>
      <c r="QMG67" s="5"/>
      <c r="QMH67" s="5"/>
      <c r="QMI67" s="5"/>
      <c r="QMJ67" s="5"/>
      <c r="QMK67" s="5"/>
      <c r="QML67" s="5"/>
      <c r="QMM67" s="5"/>
      <c r="QMN67" s="5"/>
      <c r="QMO67" s="5"/>
      <c r="QMP67" s="5"/>
      <c r="QMQ67" s="5"/>
      <c r="QMR67" s="5"/>
      <c r="QMS67" s="5"/>
      <c r="QMT67" s="5"/>
      <c r="QMU67" s="5"/>
      <c r="QMV67" s="5"/>
      <c r="QMW67" s="5"/>
      <c r="QMX67" s="5"/>
      <c r="QMY67" s="5"/>
      <c r="QMZ67" s="5"/>
      <c r="QNA67" s="5"/>
      <c r="QNB67" s="5"/>
      <c r="QNC67" s="5"/>
      <c r="QND67" s="5"/>
      <c r="QNE67" s="5"/>
      <c r="QNF67" s="5"/>
      <c r="QNG67" s="5"/>
      <c r="QNH67" s="5"/>
      <c r="QNI67" s="5"/>
      <c r="QNJ67" s="5"/>
      <c r="QNK67" s="5"/>
      <c r="QNL67" s="5"/>
      <c r="QNM67" s="5"/>
      <c r="QNN67" s="5"/>
      <c r="QNO67" s="5"/>
      <c r="QNP67" s="5"/>
      <c r="QNQ67" s="5"/>
      <c r="QNR67" s="5"/>
      <c r="QNS67" s="5"/>
      <c r="QNT67" s="5"/>
      <c r="QNU67" s="5"/>
      <c r="QNV67" s="5"/>
      <c r="QNW67" s="5"/>
      <c r="QNX67" s="5"/>
      <c r="QNY67" s="5"/>
      <c r="QNZ67" s="5"/>
      <c r="QOA67" s="5"/>
      <c r="QOB67" s="5"/>
      <c r="QOC67" s="5"/>
      <c r="QOD67" s="5"/>
      <c r="QOE67" s="5"/>
      <c r="QOF67" s="5"/>
      <c r="QOG67" s="5"/>
      <c r="QOH67" s="5"/>
      <c r="QOI67" s="5"/>
      <c r="QOJ67" s="5"/>
      <c r="QOK67" s="5"/>
      <c r="QOL67" s="5"/>
      <c r="QOM67" s="5"/>
      <c r="QON67" s="5"/>
      <c r="QOO67" s="5"/>
      <c r="QOP67" s="5"/>
      <c r="QOQ67" s="5"/>
      <c r="QOR67" s="5"/>
      <c r="QOS67" s="5"/>
      <c r="QOT67" s="5"/>
      <c r="QOU67" s="5"/>
      <c r="QOV67" s="5"/>
      <c r="QOW67" s="5"/>
      <c r="QOX67" s="5"/>
      <c r="QOY67" s="5"/>
      <c r="QOZ67" s="5"/>
      <c r="QPA67" s="5"/>
      <c r="QPB67" s="5"/>
      <c r="QPC67" s="5"/>
      <c r="QPD67" s="5"/>
      <c r="QPE67" s="5"/>
      <c r="QPF67" s="5"/>
      <c r="QPG67" s="5"/>
      <c r="QPH67" s="5"/>
      <c r="QPI67" s="5"/>
      <c r="QPJ67" s="5"/>
      <c r="QPK67" s="5"/>
      <c r="QPL67" s="5"/>
      <c r="QPM67" s="5"/>
      <c r="QPN67" s="5"/>
      <c r="QPO67" s="5"/>
      <c r="QPP67" s="5"/>
      <c r="QPQ67" s="5"/>
      <c r="QPR67" s="5"/>
      <c r="QPS67" s="5"/>
      <c r="QPT67" s="5"/>
      <c r="QPU67" s="5"/>
      <c r="QPV67" s="5"/>
      <c r="QPW67" s="5"/>
      <c r="QPX67" s="5"/>
      <c r="QPY67" s="5"/>
      <c r="QPZ67" s="5"/>
      <c r="QQA67" s="5"/>
      <c r="QQB67" s="5"/>
      <c r="QQC67" s="5"/>
      <c r="QQD67" s="5"/>
      <c r="QQE67" s="5"/>
      <c r="QQF67" s="5"/>
      <c r="QQG67" s="5"/>
      <c r="QQH67" s="5"/>
      <c r="QQI67" s="5"/>
      <c r="QQJ67" s="5"/>
      <c r="QQK67" s="5"/>
      <c r="QQL67" s="5"/>
      <c r="QQM67" s="5"/>
      <c r="QQN67" s="5"/>
      <c r="QQO67" s="5"/>
      <c r="QQP67" s="5"/>
      <c r="QQQ67" s="5"/>
      <c r="QQR67" s="5"/>
      <c r="QQS67" s="5"/>
      <c r="QQT67" s="5"/>
      <c r="QQU67" s="5"/>
      <c r="QQV67" s="5"/>
      <c r="QQW67" s="5"/>
      <c r="QQX67" s="5"/>
      <c r="QQY67" s="5"/>
      <c r="QQZ67" s="5"/>
      <c r="QRA67" s="5"/>
      <c r="QRB67" s="5"/>
      <c r="QRC67" s="5"/>
      <c r="QRD67" s="5"/>
      <c r="QRE67" s="5"/>
      <c r="QRF67" s="5"/>
      <c r="QRG67" s="5"/>
      <c r="QRH67" s="5"/>
      <c r="QRI67" s="5"/>
      <c r="QRJ67" s="5"/>
      <c r="QRK67" s="5"/>
      <c r="QRL67" s="5"/>
      <c r="QRM67" s="5"/>
      <c r="QRN67" s="5"/>
      <c r="QRO67" s="5"/>
      <c r="QRP67" s="5"/>
      <c r="QRQ67" s="5"/>
      <c r="QRR67" s="5"/>
      <c r="QRS67" s="5"/>
      <c r="QRT67" s="5"/>
      <c r="QRU67" s="5"/>
      <c r="QRV67" s="5"/>
      <c r="QRW67" s="5"/>
      <c r="QRX67" s="5"/>
      <c r="QRY67" s="5"/>
      <c r="QRZ67" s="5"/>
      <c r="QSA67" s="5"/>
      <c r="QSB67" s="5"/>
      <c r="QSC67" s="5"/>
      <c r="QSD67" s="5"/>
      <c r="QSE67" s="5"/>
      <c r="QSF67" s="5"/>
      <c r="QSG67" s="5"/>
      <c r="QSH67" s="5"/>
      <c r="QSI67" s="5"/>
      <c r="QSJ67" s="5"/>
      <c r="QSK67" s="5"/>
      <c r="QSL67" s="5"/>
      <c r="QSM67" s="5"/>
      <c r="QSN67" s="5"/>
      <c r="QSO67" s="5"/>
      <c r="QSP67" s="5"/>
      <c r="QSQ67" s="5"/>
      <c r="QSR67" s="5"/>
      <c r="QSS67" s="5"/>
      <c r="QST67" s="5"/>
      <c r="QSU67" s="5"/>
      <c r="QSV67" s="5"/>
      <c r="QSW67" s="5"/>
      <c r="QSX67" s="5"/>
      <c r="QSY67" s="5"/>
      <c r="QSZ67" s="5"/>
      <c r="QTA67" s="5"/>
      <c r="QTB67" s="5"/>
      <c r="QTC67" s="5"/>
      <c r="QTD67" s="5"/>
      <c r="QTE67" s="5"/>
      <c r="QTF67" s="5"/>
      <c r="QTG67" s="5"/>
      <c r="QTH67" s="5"/>
      <c r="QTI67" s="5"/>
      <c r="QTJ67" s="5"/>
      <c r="QTK67" s="5"/>
      <c r="QTL67" s="5"/>
      <c r="QTM67" s="5"/>
      <c r="QTN67" s="5"/>
      <c r="QTO67" s="5"/>
      <c r="QTP67" s="5"/>
      <c r="QTQ67" s="5"/>
      <c r="QTR67" s="5"/>
      <c r="QTS67" s="5"/>
      <c r="QTT67" s="5"/>
      <c r="QTU67" s="5"/>
      <c r="QTV67" s="5"/>
      <c r="QTW67" s="5"/>
      <c r="QTX67" s="5"/>
      <c r="QTY67" s="5"/>
      <c r="QTZ67" s="5"/>
      <c r="QUA67" s="5"/>
      <c r="QUB67" s="5"/>
      <c r="QUC67" s="5"/>
      <c r="QUD67" s="5"/>
      <c r="QUE67" s="5"/>
      <c r="QUF67" s="5"/>
      <c r="QUG67" s="5"/>
      <c r="QUH67" s="5"/>
      <c r="QUI67" s="5"/>
      <c r="QUJ67" s="5"/>
      <c r="QUK67" s="5"/>
      <c r="QUL67" s="5"/>
      <c r="QUM67" s="5"/>
      <c r="QUN67" s="5"/>
      <c r="QUO67" s="5"/>
      <c r="QUP67" s="5"/>
      <c r="QUQ67" s="5"/>
      <c r="QUR67" s="5"/>
      <c r="QUS67" s="5"/>
      <c r="QUT67" s="5"/>
      <c r="QUU67" s="5"/>
      <c r="QUV67" s="5"/>
      <c r="QUW67" s="5"/>
      <c r="QUX67" s="5"/>
      <c r="QUY67" s="5"/>
      <c r="QUZ67" s="5"/>
      <c r="QVA67" s="5"/>
      <c r="QVB67" s="5"/>
      <c r="QVC67" s="5"/>
      <c r="QVD67" s="5"/>
      <c r="QVE67" s="5"/>
      <c r="QVF67" s="5"/>
      <c r="QVG67" s="5"/>
      <c r="QVH67" s="5"/>
      <c r="QVI67" s="5"/>
      <c r="QVJ67" s="5"/>
      <c r="QVK67" s="5"/>
      <c r="QVL67" s="5"/>
      <c r="QVM67" s="5"/>
      <c r="QVN67" s="5"/>
      <c r="QVO67" s="5"/>
      <c r="QVP67" s="5"/>
      <c r="QVQ67" s="5"/>
      <c r="QVR67" s="5"/>
      <c r="QVS67" s="5"/>
      <c r="QVT67" s="5"/>
      <c r="QVU67" s="5"/>
      <c r="QVV67" s="5"/>
      <c r="QVW67" s="5"/>
      <c r="QVX67" s="5"/>
      <c r="QVY67" s="5"/>
      <c r="QVZ67" s="5"/>
      <c r="QWA67" s="5"/>
      <c r="QWB67" s="5"/>
      <c r="QWC67" s="5"/>
      <c r="QWD67" s="5"/>
      <c r="QWE67" s="5"/>
      <c r="QWF67" s="5"/>
      <c r="QWG67" s="5"/>
      <c r="QWH67" s="5"/>
      <c r="QWI67" s="5"/>
      <c r="QWJ67" s="5"/>
      <c r="QWK67" s="5"/>
      <c r="QWL67" s="5"/>
      <c r="QWM67" s="5"/>
      <c r="QWN67" s="5"/>
      <c r="QWO67" s="5"/>
      <c r="QWP67" s="5"/>
      <c r="QWQ67" s="5"/>
      <c r="QWR67" s="5"/>
      <c r="QWS67" s="5"/>
      <c r="QWT67" s="5"/>
      <c r="QWU67" s="5"/>
      <c r="QWV67" s="5"/>
      <c r="QWW67" s="5"/>
      <c r="QWX67" s="5"/>
      <c r="QWY67" s="5"/>
      <c r="QWZ67" s="5"/>
      <c r="QXA67" s="5"/>
      <c r="QXB67" s="5"/>
      <c r="QXC67" s="5"/>
      <c r="QXD67" s="5"/>
      <c r="QXE67" s="5"/>
      <c r="QXF67" s="5"/>
      <c r="QXG67" s="5"/>
      <c r="QXH67" s="5"/>
      <c r="QXI67" s="5"/>
      <c r="QXJ67" s="5"/>
      <c r="QXK67" s="5"/>
      <c r="QXL67" s="5"/>
      <c r="QXM67" s="5"/>
      <c r="QXN67" s="5"/>
      <c r="QXO67" s="5"/>
      <c r="QXP67" s="5"/>
      <c r="QXQ67" s="5"/>
      <c r="QXR67" s="5"/>
      <c r="QXS67" s="5"/>
      <c r="QXT67" s="5"/>
      <c r="QXU67" s="5"/>
      <c r="QXV67" s="5"/>
      <c r="QXW67" s="5"/>
      <c r="QXX67" s="5"/>
      <c r="QXY67" s="5"/>
      <c r="QXZ67" s="5"/>
      <c r="QYA67" s="5"/>
      <c r="QYB67" s="5"/>
      <c r="QYC67" s="5"/>
      <c r="QYD67" s="5"/>
      <c r="QYE67" s="5"/>
      <c r="QYF67" s="5"/>
      <c r="QYG67" s="5"/>
      <c r="QYH67" s="5"/>
      <c r="QYI67" s="5"/>
      <c r="QYJ67" s="5"/>
      <c r="QYK67" s="5"/>
      <c r="QYL67" s="5"/>
      <c r="QYM67" s="5"/>
      <c r="QYN67" s="5"/>
      <c r="QYO67" s="5"/>
      <c r="QYP67" s="5"/>
      <c r="QYQ67" s="5"/>
      <c r="QYR67" s="5"/>
      <c r="QYS67" s="5"/>
      <c r="QYT67" s="5"/>
      <c r="QYU67" s="5"/>
      <c r="QYV67" s="5"/>
      <c r="QYW67" s="5"/>
      <c r="QYX67" s="5"/>
      <c r="QYY67" s="5"/>
      <c r="QYZ67" s="5"/>
      <c r="QZA67" s="5"/>
      <c r="QZB67" s="5"/>
      <c r="QZC67" s="5"/>
      <c r="QZD67" s="5"/>
      <c r="QZE67" s="5"/>
      <c r="QZF67" s="5"/>
      <c r="QZG67" s="5"/>
      <c r="QZH67" s="5"/>
      <c r="QZI67" s="5"/>
      <c r="QZJ67" s="5"/>
      <c r="QZK67" s="5"/>
      <c r="QZL67" s="5"/>
      <c r="QZM67" s="5"/>
      <c r="QZN67" s="5"/>
      <c r="QZO67" s="5"/>
      <c r="QZP67" s="5"/>
      <c r="QZQ67" s="5"/>
      <c r="QZR67" s="5"/>
      <c r="QZS67" s="5"/>
      <c r="QZT67" s="5"/>
      <c r="QZU67" s="5"/>
      <c r="QZV67" s="5"/>
      <c r="QZW67" s="5"/>
      <c r="QZX67" s="5"/>
      <c r="QZY67" s="5"/>
      <c r="QZZ67" s="5"/>
      <c r="RAA67" s="5"/>
      <c r="RAB67" s="5"/>
      <c r="RAC67" s="5"/>
      <c r="RAD67" s="5"/>
      <c r="RAE67" s="5"/>
      <c r="RAF67" s="5"/>
      <c r="RAG67" s="5"/>
      <c r="RAH67" s="5"/>
      <c r="RAI67" s="5"/>
      <c r="RAJ67" s="5"/>
      <c r="RAK67" s="5"/>
      <c r="RAL67" s="5"/>
      <c r="RAM67" s="5"/>
      <c r="RAN67" s="5"/>
      <c r="RAO67" s="5"/>
      <c r="RAP67" s="5"/>
      <c r="RAQ67" s="5"/>
      <c r="RAR67" s="5"/>
      <c r="RAS67" s="5"/>
      <c r="RAT67" s="5"/>
      <c r="RAU67" s="5"/>
      <c r="RAV67" s="5"/>
      <c r="RAW67" s="5"/>
      <c r="RAX67" s="5"/>
      <c r="RAY67" s="5"/>
      <c r="RAZ67" s="5"/>
      <c r="RBA67" s="5"/>
      <c r="RBB67" s="5"/>
      <c r="RBC67" s="5"/>
      <c r="RBD67" s="5"/>
      <c r="RBE67" s="5"/>
      <c r="RBF67" s="5"/>
      <c r="RBG67" s="5"/>
      <c r="RBH67" s="5"/>
      <c r="RBI67" s="5"/>
      <c r="RBJ67" s="5"/>
      <c r="RBK67" s="5"/>
      <c r="RBL67" s="5"/>
      <c r="RBM67" s="5"/>
      <c r="RBN67" s="5"/>
      <c r="RBO67" s="5"/>
      <c r="RBP67" s="5"/>
      <c r="RBQ67" s="5"/>
      <c r="RBR67" s="5"/>
      <c r="RBS67" s="5"/>
      <c r="RBT67" s="5"/>
      <c r="RBU67" s="5"/>
      <c r="RBV67" s="5"/>
      <c r="RBW67" s="5"/>
      <c r="RBX67" s="5"/>
      <c r="RBY67" s="5"/>
      <c r="RBZ67" s="5"/>
      <c r="RCA67" s="5"/>
      <c r="RCB67" s="5"/>
      <c r="RCC67" s="5"/>
      <c r="RCD67" s="5"/>
      <c r="RCE67" s="5"/>
      <c r="RCF67" s="5"/>
      <c r="RCG67" s="5"/>
      <c r="RCH67" s="5"/>
      <c r="RCI67" s="5"/>
      <c r="RCJ67" s="5"/>
      <c r="RCK67" s="5"/>
      <c r="RCL67" s="5"/>
      <c r="RCM67" s="5"/>
      <c r="RCN67" s="5"/>
      <c r="RCO67" s="5"/>
      <c r="RCP67" s="5"/>
      <c r="RCQ67" s="5"/>
      <c r="RCR67" s="5"/>
      <c r="RCS67" s="5"/>
      <c r="RCT67" s="5"/>
      <c r="RCU67" s="5"/>
      <c r="RCV67" s="5"/>
      <c r="RCW67" s="5"/>
      <c r="RCX67" s="5"/>
      <c r="RCY67" s="5"/>
      <c r="RCZ67" s="5"/>
      <c r="RDA67" s="5"/>
      <c r="RDB67" s="5"/>
      <c r="RDC67" s="5"/>
      <c r="RDD67" s="5"/>
      <c r="RDE67" s="5"/>
      <c r="RDF67" s="5"/>
      <c r="RDG67" s="5"/>
      <c r="RDH67" s="5"/>
      <c r="RDI67" s="5"/>
      <c r="RDJ67" s="5"/>
      <c r="RDK67" s="5"/>
      <c r="RDL67" s="5"/>
      <c r="RDM67" s="5"/>
      <c r="RDN67" s="5"/>
      <c r="RDO67" s="5"/>
      <c r="RDP67" s="5"/>
      <c r="RDQ67" s="5"/>
      <c r="RDR67" s="5"/>
      <c r="RDS67" s="5"/>
      <c r="RDT67" s="5"/>
      <c r="RDU67" s="5"/>
      <c r="RDV67" s="5"/>
      <c r="RDW67" s="5"/>
      <c r="RDX67" s="5"/>
      <c r="RDY67" s="5"/>
      <c r="RDZ67" s="5"/>
      <c r="REA67" s="5"/>
      <c r="REB67" s="5"/>
      <c r="REC67" s="5"/>
      <c r="RED67" s="5"/>
      <c r="REE67" s="5"/>
      <c r="REF67" s="5"/>
      <c r="REG67" s="5"/>
      <c r="REH67" s="5"/>
      <c r="REI67" s="5"/>
      <c r="REJ67" s="5"/>
      <c r="REK67" s="5"/>
      <c r="REL67" s="5"/>
      <c r="REM67" s="5"/>
      <c r="REN67" s="5"/>
      <c r="REO67" s="5"/>
      <c r="REP67" s="5"/>
      <c r="REQ67" s="5"/>
      <c r="RER67" s="5"/>
      <c r="RES67" s="5"/>
      <c r="RET67" s="5"/>
      <c r="REU67" s="5"/>
      <c r="REV67" s="5"/>
      <c r="REW67" s="5"/>
      <c r="REX67" s="5"/>
      <c r="REY67" s="5"/>
      <c r="REZ67" s="5"/>
      <c r="RFA67" s="5"/>
      <c r="RFB67" s="5"/>
      <c r="RFC67" s="5"/>
      <c r="RFD67" s="5"/>
      <c r="RFE67" s="5"/>
      <c r="RFF67" s="5"/>
      <c r="RFG67" s="5"/>
      <c r="RFH67" s="5"/>
      <c r="RFI67" s="5"/>
      <c r="RFJ67" s="5"/>
      <c r="RFK67" s="5"/>
      <c r="RFL67" s="5"/>
      <c r="RFM67" s="5"/>
      <c r="RFN67" s="5"/>
      <c r="RFO67" s="5"/>
      <c r="RFP67" s="5"/>
      <c r="RFQ67" s="5"/>
      <c r="RFR67" s="5"/>
      <c r="RFS67" s="5"/>
      <c r="RFT67" s="5"/>
      <c r="RFU67" s="5"/>
      <c r="RFV67" s="5"/>
      <c r="RFW67" s="5"/>
      <c r="RFX67" s="5"/>
      <c r="RFY67" s="5"/>
      <c r="RFZ67" s="5"/>
      <c r="RGA67" s="5"/>
      <c r="RGB67" s="5"/>
      <c r="RGC67" s="5"/>
      <c r="RGD67" s="5"/>
      <c r="RGE67" s="5"/>
      <c r="RGF67" s="5"/>
      <c r="RGG67" s="5"/>
      <c r="RGH67" s="5"/>
      <c r="RGI67" s="5"/>
      <c r="RGJ67" s="5"/>
      <c r="RGK67" s="5"/>
      <c r="RGL67" s="5"/>
      <c r="RGM67" s="5"/>
      <c r="RGN67" s="5"/>
      <c r="RGO67" s="5"/>
      <c r="RGP67" s="5"/>
      <c r="RGQ67" s="5"/>
      <c r="RGR67" s="5"/>
      <c r="RGS67" s="5"/>
      <c r="RGT67" s="5"/>
      <c r="RGU67" s="5"/>
      <c r="RGV67" s="5"/>
      <c r="RGW67" s="5"/>
      <c r="RGX67" s="5"/>
      <c r="RGY67" s="5"/>
      <c r="RGZ67" s="5"/>
      <c r="RHA67" s="5"/>
      <c r="RHB67" s="5"/>
      <c r="RHC67" s="5"/>
      <c r="RHD67" s="5"/>
      <c r="RHE67" s="5"/>
      <c r="RHF67" s="5"/>
      <c r="RHG67" s="5"/>
      <c r="RHH67" s="5"/>
      <c r="RHI67" s="5"/>
      <c r="RHJ67" s="5"/>
      <c r="RHK67" s="5"/>
      <c r="RHL67" s="5"/>
      <c r="RHM67" s="5"/>
      <c r="RHN67" s="5"/>
      <c r="RHO67" s="5"/>
      <c r="RHP67" s="5"/>
      <c r="RHQ67" s="5"/>
      <c r="RHR67" s="5"/>
      <c r="RHS67" s="5"/>
      <c r="RHT67" s="5"/>
      <c r="RHU67" s="5"/>
      <c r="RHV67" s="5"/>
      <c r="RHW67" s="5"/>
      <c r="RHX67" s="5"/>
      <c r="RHY67" s="5"/>
      <c r="RHZ67" s="5"/>
      <c r="RIA67" s="5"/>
      <c r="RIB67" s="5"/>
      <c r="RIC67" s="5"/>
      <c r="RID67" s="5"/>
      <c r="RIE67" s="5"/>
      <c r="RIF67" s="5"/>
      <c r="RIG67" s="5"/>
      <c r="RIH67" s="5"/>
      <c r="RII67" s="5"/>
      <c r="RIJ67" s="5"/>
      <c r="RIK67" s="5"/>
      <c r="RIL67" s="5"/>
      <c r="RIM67" s="5"/>
      <c r="RIN67" s="5"/>
      <c r="RIO67" s="5"/>
      <c r="RIP67" s="5"/>
      <c r="RIQ67" s="5"/>
      <c r="RIR67" s="5"/>
      <c r="RIS67" s="5"/>
      <c r="RIT67" s="5"/>
      <c r="RIU67" s="5"/>
      <c r="RIV67" s="5"/>
      <c r="RIW67" s="5"/>
      <c r="RIX67" s="5"/>
      <c r="RIY67" s="5"/>
      <c r="RIZ67" s="5"/>
      <c r="RJA67" s="5"/>
      <c r="RJB67" s="5"/>
      <c r="RJC67" s="5"/>
      <c r="RJD67" s="5"/>
      <c r="RJE67" s="5"/>
      <c r="RJF67" s="5"/>
      <c r="RJG67" s="5"/>
      <c r="RJH67" s="5"/>
      <c r="RJI67" s="5"/>
      <c r="RJJ67" s="5"/>
      <c r="RJK67" s="5"/>
      <c r="RJL67" s="5"/>
      <c r="RJM67" s="5"/>
      <c r="RJN67" s="5"/>
      <c r="RJO67" s="5"/>
      <c r="RJP67" s="5"/>
      <c r="RJQ67" s="5"/>
      <c r="RJR67" s="5"/>
      <c r="RJS67" s="5"/>
      <c r="RJT67" s="5"/>
      <c r="RJU67" s="5"/>
      <c r="RJV67" s="5"/>
      <c r="RJW67" s="5"/>
      <c r="RJX67" s="5"/>
      <c r="RJY67" s="5"/>
      <c r="RJZ67" s="5"/>
      <c r="RKA67" s="5"/>
      <c r="RKB67" s="5"/>
      <c r="RKC67" s="5"/>
      <c r="RKD67" s="5"/>
      <c r="RKE67" s="5"/>
      <c r="RKF67" s="5"/>
      <c r="RKG67" s="5"/>
      <c r="RKH67" s="5"/>
      <c r="RKI67" s="5"/>
      <c r="RKJ67" s="5"/>
      <c r="RKK67" s="5"/>
      <c r="RKL67" s="5"/>
      <c r="RKM67" s="5"/>
      <c r="RKN67" s="5"/>
      <c r="RKO67" s="5"/>
      <c r="RKP67" s="5"/>
      <c r="RKQ67" s="5"/>
      <c r="RKR67" s="5"/>
      <c r="RKS67" s="5"/>
      <c r="RKT67" s="5"/>
      <c r="RKU67" s="5"/>
      <c r="RKV67" s="5"/>
      <c r="RKW67" s="5"/>
      <c r="RKX67" s="5"/>
      <c r="RKY67" s="5"/>
      <c r="RKZ67" s="5"/>
      <c r="RLA67" s="5"/>
      <c r="RLB67" s="5"/>
      <c r="RLC67" s="5"/>
      <c r="RLD67" s="5"/>
      <c r="RLE67" s="5"/>
      <c r="RLF67" s="5"/>
      <c r="RLG67" s="5"/>
      <c r="RLH67" s="5"/>
      <c r="RLI67" s="5"/>
      <c r="RLJ67" s="5"/>
      <c r="RLK67" s="5"/>
      <c r="RLL67" s="5"/>
      <c r="RLM67" s="5"/>
      <c r="RLN67" s="5"/>
      <c r="RLO67" s="5"/>
      <c r="RLP67" s="5"/>
      <c r="RLQ67" s="5"/>
      <c r="RLR67" s="5"/>
      <c r="RLS67" s="5"/>
      <c r="RLT67" s="5"/>
      <c r="RLU67" s="5"/>
      <c r="RLV67" s="5"/>
      <c r="RLW67" s="5"/>
      <c r="RLX67" s="5"/>
      <c r="RLY67" s="5"/>
      <c r="RLZ67" s="5"/>
      <c r="RMA67" s="5"/>
      <c r="RMB67" s="5"/>
      <c r="RMC67" s="5"/>
      <c r="RMD67" s="5"/>
      <c r="RME67" s="5"/>
      <c r="RMF67" s="5"/>
      <c r="RMG67" s="5"/>
      <c r="RMH67" s="5"/>
      <c r="RMI67" s="5"/>
      <c r="RMJ67" s="5"/>
      <c r="RMK67" s="5"/>
      <c r="RML67" s="5"/>
      <c r="RMM67" s="5"/>
      <c r="RMN67" s="5"/>
      <c r="RMO67" s="5"/>
      <c r="RMP67" s="5"/>
      <c r="RMQ67" s="5"/>
      <c r="RMR67" s="5"/>
      <c r="RMS67" s="5"/>
      <c r="RMT67" s="5"/>
      <c r="RMU67" s="5"/>
      <c r="RMV67" s="5"/>
      <c r="RMW67" s="5"/>
      <c r="RMX67" s="5"/>
      <c r="RMY67" s="5"/>
      <c r="RMZ67" s="5"/>
      <c r="RNA67" s="5"/>
      <c r="RNB67" s="5"/>
      <c r="RNC67" s="5"/>
      <c r="RND67" s="5"/>
      <c r="RNE67" s="5"/>
      <c r="RNF67" s="5"/>
      <c r="RNG67" s="5"/>
      <c r="RNH67" s="5"/>
      <c r="RNI67" s="5"/>
      <c r="RNJ67" s="5"/>
      <c r="RNK67" s="5"/>
      <c r="RNL67" s="5"/>
      <c r="RNM67" s="5"/>
      <c r="RNN67" s="5"/>
      <c r="RNO67" s="5"/>
      <c r="RNP67" s="5"/>
      <c r="RNQ67" s="5"/>
      <c r="RNR67" s="5"/>
      <c r="RNS67" s="5"/>
      <c r="RNT67" s="5"/>
      <c r="RNU67" s="5"/>
      <c r="RNV67" s="5"/>
      <c r="RNW67" s="5"/>
      <c r="RNX67" s="5"/>
      <c r="RNY67" s="5"/>
      <c r="RNZ67" s="5"/>
      <c r="ROA67" s="5"/>
      <c r="ROB67" s="5"/>
      <c r="ROC67" s="5"/>
      <c r="ROD67" s="5"/>
      <c r="ROE67" s="5"/>
      <c r="ROF67" s="5"/>
      <c r="ROG67" s="5"/>
      <c r="ROH67" s="5"/>
      <c r="ROI67" s="5"/>
      <c r="ROJ67" s="5"/>
      <c r="ROK67" s="5"/>
      <c r="ROL67" s="5"/>
      <c r="ROM67" s="5"/>
      <c r="RON67" s="5"/>
      <c r="ROO67" s="5"/>
      <c r="ROP67" s="5"/>
      <c r="ROQ67" s="5"/>
      <c r="ROR67" s="5"/>
      <c r="ROS67" s="5"/>
      <c r="ROT67" s="5"/>
      <c r="ROU67" s="5"/>
      <c r="ROV67" s="5"/>
      <c r="ROW67" s="5"/>
      <c r="ROX67" s="5"/>
      <c r="ROY67" s="5"/>
      <c r="ROZ67" s="5"/>
      <c r="RPA67" s="5"/>
      <c r="RPB67" s="5"/>
      <c r="RPC67" s="5"/>
      <c r="RPD67" s="5"/>
      <c r="RPE67" s="5"/>
      <c r="RPF67" s="5"/>
      <c r="RPG67" s="5"/>
      <c r="RPH67" s="5"/>
      <c r="RPI67" s="5"/>
      <c r="RPJ67" s="5"/>
      <c r="RPK67" s="5"/>
      <c r="RPL67" s="5"/>
      <c r="RPM67" s="5"/>
      <c r="RPN67" s="5"/>
      <c r="RPO67" s="5"/>
      <c r="RPP67" s="5"/>
      <c r="RPQ67" s="5"/>
      <c r="RPR67" s="5"/>
      <c r="RPS67" s="5"/>
      <c r="RPT67" s="5"/>
      <c r="RPU67" s="5"/>
      <c r="RPV67" s="5"/>
      <c r="RPW67" s="5"/>
      <c r="RPX67" s="5"/>
      <c r="RPY67" s="5"/>
      <c r="RPZ67" s="5"/>
      <c r="RQA67" s="5"/>
      <c r="RQB67" s="5"/>
      <c r="RQC67" s="5"/>
      <c r="RQD67" s="5"/>
      <c r="RQE67" s="5"/>
      <c r="RQF67" s="5"/>
      <c r="RQG67" s="5"/>
      <c r="RQH67" s="5"/>
      <c r="RQI67" s="5"/>
      <c r="RQJ67" s="5"/>
      <c r="RQK67" s="5"/>
      <c r="RQL67" s="5"/>
      <c r="RQM67" s="5"/>
      <c r="RQN67" s="5"/>
      <c r="RQO67" s="5"/>
      <c r="RQP67" s="5"/>
      <c r="RQQ67" s="5"/>
      <c r="RQR67" s="5"/>
      <c r="RQS67" s="5"/>
      <c r="RQT67" s="5"/>
      <c r="RQU67" s="5"/>
      <c r="RQV67" s="5"/>
      <c r="RQW67" s="5"/>
      <c r="RQX67" s="5"/>
      <c r="RQY67" s="5"/>
      <c r="RQZ67" s="5"/>
      <c r="RRA67" s="5"/>
      <c r="RRB67" s="5"/>
      <c r="RRC67" s="5"/>
      <c r="RRD67" s="5"/>
      <c r="RRE67" s="5"/>
      <c r="RRF67" s="5"/>
      <c r="RRG67" s="5"/>
      <c r="RRH67" s="5"/>
      <c r="RRI67" s="5"/>
      <c r="RRJ67" s="5"/>
      <c r="RRK67" s="5"/>
      <c r="RRL67" s="5"/>
      <c r="RRM67" s="5"/>
      <c r="RRN67" s="5"/>
      <c r="RRO67" s="5"/>
      <c r="RRP67" s="5"/>
      <c r="RRQ67" s="5"/>
      <c r="RRR67" s="5"/>
      <c r="RRS67" s="5"/>
      <c r="RRT67" s="5"/>
      <c r="RRU67" s="5"/>
      <c r="RRV67" s="5"/>
      <c r="RRW67" s="5"/>
      <c r="RRX67" s="5"/>
      <c r="RRY67" s="5"/>
      <c r="RRZ67" s="5"/>
      <c r="RSA67" s="5"/>
      <c r="RSB67" s="5"/>
      <c r="RSC67" s="5"/>
      <c r="RSD67" s="5"/>
      <c r="RSE67" s="5"/>
      <c r="RSF67" s="5"/>
      <c r="RSG67" s="5"/>
      <c r="RSH67" s="5"/>
      <c r="RSI67" s="5"/>
      <c r="RSJ67" s="5"/>
      <c r="RSK67" s="5"/>
      <c r="RSL67" s="5"/>
      <c r="RSM67" s="5"/>
      <c r="RSN67" s="5"/>
      <c r="RSO67" s="5"/>
      <c r="RSP67" s="5"/>
      <c r="RSQ67" s="5"/>
      <c r="RSR67" s="5"/>
      <c r="RSS67" s="5"/>
      <c r="RST67" s="5"/>
      <c r="RSU67" s="5"/>
      <c r="RSV67" s="5"/>
      <c r="RSW67" s="5"/>
      <c r="RSX67" s="5"/>
      <c r="RSY67" s="5"/>
      <c r="RSZ67" s="5"/>
      <c r="RTA67" s="5"/>
      <c r="RTB67" s="5"/>
      <c r="RTC67" s="5"/>
      <c r="RTD67" s="5"/>
      <c r="RTE67" s="5"/>
      <c r="RTF67" s="5"/>
      <c r="RTG67" s="5"/>
      <c r="RTH67" s="5"/>
      <c r="RTI67" s="5"/>
      <c r="RTJ67" s="5"/>
      <c r="RTK67" s="5"/>
      <c r="RTL67" s="5"/>
      <c r="RTM67" s="5"/>
      <c r="RTN67" s="5"/>
      <c r="RTO67" s="5"/>
      <c r="RTP67" s="5"/>
      <c r="RTQ67" s="5"/>
      <c r="RTR67" s="5"/>
      <c r="RTS67" s="5"/>
      <c r="RTT67" s="5"/>
      <c r="RTU67" s="5"/>
      <c r="RTV67" s="5"/>
      <c r="RTW67" s="5"/>
      <c r="RTX67" s="5"/>
      <c r="RTY67" s="5"/>
      <c r="RTZ67" s="5"/>
      <c r="RUA67" s="5"/>
      <c r="RUB67" s="5"/>
      <c r="RUC67" s="5"/>
      <c r="RUD67" s="5"/>
      <c r="RUE67" s="5"/>
      <c r="RUF67" s="5"/>
      <c r="RUG67" s="5"/>
      <c r="RUH67" s="5"/>
      <c r="RUI67" s="5"/>
      <c r="RUJ67" s="5"/>
      <c r="RUK67" s="5"/>
      <c r="RUL67" s="5"/>
      <c r="RUM67" s="5"/>
      <c r="RUN67" s="5"/>
      <c r="RUO67" s="5"/>
      <c r="RUP67" s="5"/>
      <c r="RUQ67" s="5"/>
      <c r="RUR67" s="5"/>
      <c r="RUS67" s="5"/>
      <c r="RUT67" s="5"/>
      <c r="RUU67" s="5"/>
      <c r="RUV67" s="5"/>
      <c r="RUW67" s="5"/>
      <c r="RUX67" s="5"/>
      <c r="RUY67" s="5"/>
      <c r="RUZ67" s="5"/>
      <c r="RVA67" s="5"/>
      <c r="RVB67" s="5"/>
      <c r="RVC67" s="5"/>
      <c r="RVD67" s="5"/>
      <c r="RVE67" s="5"/>
      <c r="RVF67" s="5"/>
      <c r="RVG67" s="5"/>
      <c r="RVH67" s="5"/>
      <c r="RVI67" s="5"/>
      <c r="RVJ67" s="5"/>
      <c r="RVK67" s="5"/>
      <c r="RVL67" s="5"/>
      <c r="RVM67" s="5"/>
      <c r="RVN67" s="5"/>
      <c r="RVO67" s="5"/>
      <c r="RVP67" s="5"/>
      <c r="RVQ67" s="5"/>
      <c r="RVR67" s="5"/>
      <c r="RVS67" s="5"/>
      <c r="RVT67" s="5"/>
      <c r="RVU67" s="5"/>
      <c r="RVV67" s="5"/>
      <c r="RVW67" s="5"/>
      <c r="RVX67" s="5"/>
      <c r="RVY67" s="5"/>
      <c r="RVZ67" s="5"/>
      <c r="RWA67" s="5"/>
      <c r="RWB67" s="5"/>
      <c r="RWC67" s="5"/>
      <c r="RWD67" s="5"/>
      <c r="RWE67" s="5"/>
      <c r="RWF67" s="5"/>
      <c r="RWG67" s="5"/>
      <c r="RWH67" s="5"/>
      <c r="RWI67" s="5"/>
      <c r="RWJ67" s="5"/>
      <c r="RWK67" s="5"/>
      <c r="RWL67" s="5"/>
      <c r="RWM67" s="5"/>
      <c r="RWN67" s="5"/>
      <c r="RWO67" s="5"/>
      <c r="RWP67" s="5"/>
      <c r="RWQ67" s="5"/>
      <c r="RWR67" s="5"/>
      <c r="RWS67" s="5"/>
      <c r="RWT67" s="5"/>
      <c r="RWU67" s="5"/>
      <c r="RWV67" s="5"/>
      <c r="RWW67" s="5"/>
      <c r="RWX67" s="5"/>
      <c r="RWY67" s="5"/>
      <c r="RWZ67" s="5"/>
      <c r="RXA67" s="5"/>
      <c r="RXB67" s="5"/>
      <c r="RXC67" s="5"/>
      <c r="RXD67" s="5"/>
      <c r="RXE67" s="5"/>
      <c r="RXF67" s="5"/>
      <c r="RXG67" s="5"/>
      <c r="RXH67" s="5"/>
      <c r="RXI67" s="5"/>
      <c r="RXJ67" s="5"/>
      <c r="RXK67" s="5"/>
      <c r="RXL67" s="5"/>
      <c r="RXM67" s="5"/>
      <c r="RXN67" s="5"/>
      <c r="RXO67" s="5"/>
      <c r="RXP67" s="5"/>
      <c r="RXQ67" s="5"/>
      <c r="RXR67" s="5"/>
      <c r="RXS67" s="5"/>
      <c r="RXT67" s="5"/>
      <c r="RXU67" s="5"/>
      <c r="RXV67" s="5"/>
      <c r="RXW67" s="5"/>
      <c r="RXX67" s="5"/>
      <c r="RXY67" s="5"/>
      <c r="RXZ67" s="5"/>
      <c r="RYA67" s="5"/>
      <c r="RYB67" s="5"/>
      <c r="RYC67" s="5"/>
      <c r="RYD67" s="5"/>
      <c r="RYE67" s="5"/>
      <c r="RYF67" s="5"/>
      <c r="RYG67" s="5"/>
      <c r="RYH67" s="5"/>
      <c r="RYI67" s="5"/>
      <c r="RYJ67" s="5"/>
      <c r="RYK67" s="5"/>
      <c r="RYL67" s="5"/>
      <c r="RYM67" s="5"/>
      <c r="RYN67" s="5"/>
      <c r="RYO67" s="5"/>
      <c r="RYP67" s="5"/>
      <c r="RYQ67" s="5"/>
      <c r="RYR67" s="5"/>
      <c r="RYS67" s="5"/>
      <c r="RYT67" s="5"/>
      <c r="RYU67" s="5"/>
      <c r="RYV67" s="5"/>
      <c r="RYW67" s="5"/>
      <c r="RYX67" s="5"/>
      <c r="RYY67" s="5"/>
      <c r="RYZ67" s="5"/>
      <c r="RZA67" s="5"/>
      <c r="RZB67" s="5"/>
      <c r="RZC67" s="5"/>
      <c r="RZD67" s="5"/>
      <c r="RZE67" s="5"/>
      <c r="RZF67" s="5"/>
      <c r="RZG67" s="5"/>
      <c r="RZH67" s="5"/>
      <c r="RZI67" s="5"/>
      <c r="RZJ67" s="5"/>
      <c r="RZK67" s="5"/>
      <c r="RZL67" s="5"/>
      <c r="RZM67" s="5"/>
      <c r="RZN67" s="5"/>
      <c r="RZO67" s="5"/>
      <c r="RZP67" s="5"/>
      <c r="RZQ67" s="5"/>
      <c r="RZR67" s="5"/>
      <c r="RZS67" s="5"/>
      <c r="RZT67" s="5"/>
      <c r="RZU67" s="5"/>
      <c r="RZV67" s="5"/>
      <c r="RZW67" s="5"/>
      <c r="RZX67" s="5"/>
      <c r="RZY67" s="5"/>
      <c r="RZZ67" s="5"/>
      <c r="SAA67" s="5"/>
      <c r="SAB67" s="5"/>
      <c r="SAC67" s="5"/>
      <c r="SAD67" s="5"/>
      <c r="SAE67" s="5"/>
      <c r="SAF67" s="5"/>
      <c r="SAG67" s="5"/>
      <c r="SAH67" s="5"/>
      <c r="SAI67" s="5"/>
      <c r="SAJ67" s="5"/>
      <c r="SAK67" s="5"/>
      <c r="SAL67" s="5"/>
      <c r="SAM67" s="5"/>
      <c r="SAN67" s="5"/>
      <c r="SAO67" s="5"/>
      <c r="SAP67" s="5"/>
      <c r="SAQ67" s="5"/>
      <c r="SAR67" s="5"/>
      <c r="SAS67" s="5"/>
      <c r="SAT67" s="5"/>
      <c r="SAU67" s="5"/>
      <c r="SAV67" s="5"/>
      <c r="SAW67" s="5"/>
      <c r="SAX67" s="5"/>
      <c r="SAY67" s="5"/>
      <c r="SAZ67" s="5"/>
      <c r="SBA67" s="5"/>
      <c r="SBB67" s="5"/>
      <c r="SBC67" s="5"/>
      <c r="SBD67" s="5"/>
      <c r="SBE67" s="5"/>
      <c r="SBF67" s="5"/>
      <c r="SBG67" s="5"/>
      <c r="SBH67" s="5"/>
      <c r="SBI67" s="5"/>
      <c r="SBJ67" s="5"/>
      <c r="SBK67" s="5"/>
      <c r="SBL67" s="5"/>
      <c r="SBM67" s="5"/>
      <c r="SBN67" s="5"/>
      <c r="SBO67" s="5"/>
      <c r="SBP67" s="5"/>
      <c r="SBQ67" s="5"/>
      <c r="SBR67" s="5"/>
      <c r="SBS67" s="5"/>
      <c r="SBT67" s="5"/>
      <c r="SBU67" s="5"/>
      <c r="SBV67" s="5"/>
      <c r="SBW67" s="5"/>
      <c r="SBX67" s="5"/>
      <c r="SBY67" s="5"/>
      <c r="SBZ67" s="5"/>
      <c r="SCA67" s="5"/>
      <c r="SCB67" s="5"/>
      <c r="SCC67" s="5"/>
      <c r="SCD67" s="5"/>
      <c r="SCE67" s="5"/>
      <c r="SCF67" s="5"/>
      <c r="SCG67" s="5"/>
      <c r="SCH67" s="5"/>
      <c r="SCI67" s="5"/>
      <c r="SCJ67" s="5"/>
      <c r="SCK67" s="5"/>
      <c r="SCL67" s="5"/>
      <c r="SCM67" s="5"/>
      <c r="SCN67" s="5"/>
      <c r="SCO67" s="5"/>
      <c r="SCP67" s="5"/>
      <c r="SCQ67" s="5"/>
      <c r="SCR67" s="5"/>
      <c r="SCS67" s="5"/>
      <c r="SCT67" s="5"/>
      <c r="SCU67" s="5"/>
      <c r="SCV67" s="5"/>
      <c r="SCW67" s="5"/>
      <c r="SCX67" s="5"/>
      <c r="SCY67" s="5"/>
      <c r="SCZ67" s="5"/>
      <c r="SDA67" s="5"/>
      <c r="SDB67" s="5"/>
      <c r="SDC67" s="5"/>
      <c r="SDD67" s="5"/>
      <c r="SDE67" s="5"/>
      <c r="SDF67" s="5"/>
      <c r="SDG67" s="5"/>
      <c r="SDH67" s="5"/>
      <c r="SDI67" s="5"/>
      <c r="SDJ67" s="5"/>
      <c r="SDK67" s="5"/>
      <c r="SDL67" s="5"/>
      <c r="SDM67" s="5"/>
      <c r="SDN67" s="5"/>
      <c r="SDO67" s="5"/>
      <c r="SDP67" s="5"/>
      <c r="SDQ67" s="5"/>
      <c r="SDR67" s="5"/>
      <c r="SDS67" s="5"/>
      <c r="SDT67" s="5"/>
      <c r="SDU67" s="5"/>
      <c r="SDV67" s="5"/>
      <c r="SDW67" s="5"/>
      <c r="SDX67" s="5"/>
      <c r="SDY67" s="5"/>
      <c r="SDZ67" s="5"/>
      <c r="SEA67" s="5"/>
      <c r="SEB67" s="5"/>
      <c r="SEC67" s="5"/>
      <c r="SED67" s="5"/>
      <c r="SEE67" s="5"/>
      <c r="SEF67" s="5"/>
      <c r="SEG67" s="5"/>
      <c r="SEH67" s="5"/>
      <c r="SEI67" s="5"/>
      <c r="SEJ67" s="5"/>
      <c r="SEK67" s="5"/>
      <c r="SEL67" s="5"/>
      <c r="SEM67" s="5"/>
      <c r="SEN67" s="5"/>
      <c r="SEO67" s="5"/>
      <c r="SEP67" s="5"/>
      <c r="SEQ67" s="5"/>
      <c r="SER67" s="5"/>
      <c r="SES67" s="5"/>
      <c r="SET67" s="5"/>
      <c r="SEU67" s="5"/>
      <c r="SEV67" s="5"/>
      <c r="SEW67" s="5"/>
      <c r="SEX67" s="5"/>
      <c r="SEY67" s="5"/>
      <c r="SEZ67" s="5"/>
      <c r="SFA67" s="5"/>
      <c r="SFB67" s="5"/>
      <c r="SFC67" s="5"/>
      <c r="SFD67" s="5"/>
      <c r="SFE67" s="5"/>
      <c r="SFF67" s="5"/>
      <c r="SFG67" s="5"/>
      <c r="SFH67" s="5"/>
      <c r="SFI67" s="5"/>
      <c r="SFJ67" s="5"/>
      <c r="SFK67" s="5"/>
      <c r="SFL67" s="5"/>
      <c r="SFM67" s="5"/>
      <c r="SFN67" s="5"/>
      <c r="SFO67" s="5"/>
      <c r="SFP67" s="5"/>
      <c r="SFQ67" s="5"/>
      <c r="SFR67" s="5"/>
      <c r="SFS67" s="5"/>
      <c r="SFT67" s="5"/>
      <c r="SFU67" s="5"/>
      <c r="SFV67" s="5"/>
      <c r="SFW67" s="5"/>
      <c r="SFX67" s="5"/>
      <c r="SFY67" s="5"/>
      <c r="SFZ67" s="5"/>
      <c r="SGA67" s="5"/>
      <c r="SGB67" s="5"/>
      <c r="SGC67" s="5"/>
      <c r="SGD67" s="5"/>
      <c r="SGE67" s="5"/>
      <c r="SGF67" s="5"/>
      <c r="SGG67" s="5"/>
      <c r="SGH67" s="5"/>
      <c r="SGI67" s="5"/>
      <c r="SGJ67" s="5"/>
      <c r="SGK67" s="5"/>
      <c r="SGL67" s="5"/>
      <c r="SGM67" s="5"/>
      <c r="SGN67" s="5"/>
      <c r="SGO67" s="5"/>
      <c r="SGP67" s="5"/>
      <c r="SGQ67" s="5"/>
      <c r="SGR67" s="5"/>
      <c r="SGS67" s="5"/>
      <c r="SGT67" s="5"/>
      <c r="SGU67" s="5"/>
      <c r="SGV67" s="5"/>
      <c r="SGW67" s="5"/>
      <c r="SGX67" s="5"/>
      <c r="SGY67" s="5"/>
      <c r="SGZ67" s="5"/>
      <c r="SHA67" s="5"/>
      <c r="SHB67" s="5"/>
      <c r="SHC67" s="5"/>
      <c r="SHD67" s="5"/>
      <c r="SHE67" s="5"/>
      <c r="SHF67" s="5"/>
      <c r="SHG67" s="5"/>
      <c r="SHH67" s="5"/>
      <c r="SHI67" s="5"/>
      <c r="SHJ67" s="5"/>
      <c r="SHK67" s="5"/>
      <c r="SHL67" s="5"/>
      <c r="SHM67" s="5"/>
      <c r="SHN67" s="5"/>
      <c r="SHO67" s="5"/>
      <c r="SHP67" s="5"/>
      <c r="SHQ67" s="5"/>
      <c r="SHR67" s="5"/>
      <c r="SHS67" s="5"/>
      <c r="SHT67" s="5"/>
      <c r="SHU67" s="5"/>
      <c r="SHV67" s="5"/>
      <c r="SHW67" s="5"/>
      <c r="SHX67" s="5"/>
      <c r="SHY67" s="5"/>
      <c r="SHZ67" s="5"/>
      <c r="SIA67" s="5"/>
      <c r="SIB67" s="5"/>
      <c r="SIC67" s="5"/>
      <c r="SID67" s="5"/>
      <c r="SIE67" s="5"/>
      <c r="SIF67" s="5"/>
      <c r="SIG67" s="5"/>
      <c r="SIH67" s="5"/>
      <c r="SII67" s="5"/>
      <c r="SIJ67" s="5"/>
      <c r="SIK67" s="5"/>
      <c r="SIL67" s="5"/>
      <c r="SIM67" s="5"/>
      <c r="SIN67" s="5"/>
      <c r="SIO67" s="5"/>
      <c r="SIP67" s="5"/>
      <c r="SIQ67" s="5"/>
      <c r="SIR67" s="5"/>
      <c r="SIS67" s="5"/>
      <c r="SIT67" s="5"/>
      <c r="SIU67" s="5"/>
      <c r="SIV67" s="5"/>
      <c r="SIW67" s="5"/>
      <c r="SIX67" s="5"/>
      <c r="SIY67" s="5"/>
      <c r="SIZ67" s="5"/>
      <c r="SJA67" s="5"/>
      <c r="SJB67" s="5"/>
      <c r="SJC67" s="5"/>
      <c r="SJD67" s="5"/>
      <c r="SJE67" s="5"/>
      <c r="SJF67" s="5"/>
      <c r="SJG67" s="5"/>
      <c r="SJH67" s="5"/>
      <c r="SJI67" s="5"/>
      <c r="SJJ67" s="5"/>
      <c r="SJK67" s="5"/>
      <c r="SJL67" s="5"/>
      <c r="SJM67" s="5"/>
      <c r="SJN67" s="5"/>
      <c r="SJO67" s="5"/>
      <c r="SJP67" s="5"/>
      <c r="SJQ67" s="5"/>
      <c r="SJR67" s="5"/>
      <c r="SJS67" s="5"/>
      <c r="SJT67" s="5"/>
      <c r="SJU67" s="5"/>
      <c r="SJV67" s="5"/>
      <c r="SJW67" s="5"/>
      <c r="SJX67" s="5"/>
      <c r="SJY67" s="5"/>
      <c r="SJZ67" s="5"/>
      <c r="SKA67" s="5"/>
      <c r="SKB67" s="5"/>
      <c r="SKC67" s="5"/>
      <c r="SKD67" s="5"/>
      <c r="SKE67" s="5"/>
      <c r="SKF67" s="5"/>
      <c r="SKG67" s="5"/>
      <c r="SKH67" s="5"/>
      <c r="SKI67" s="5"/>
      <c r="SKJ67" s="5"/>
      <c r="SKK67" s="5"/>
      <c r="SKL67" s="5"/>
      <c r="SKM67" s="5"/>
      <c r="SKN67" s="5"/>
      <c r="SKO67" s="5"/>
      <c r="SKP67" s="5"/>
      <c r="SKQ67" s="5"/>
      <c r="SKR67" s="5"/>
      <c r="SKS67" s="5"/>
      <c r="SKT67" s="5"/>
      <c r="SKU67" s="5"/>
      <c r="SKV67" s="5"/>
      <c r="SKW67" s="5"/>
      <c r="SKX67" s="5"/>
      <c r="SKY67" s="5"/>
      <c r="SKZ67" s="5"/>
      <c r="SLA67" s="5"/>
      <c r="SLB67" s="5"/>
      <c r="SLC67" s="5"/>
      <c r="SLD67" s="5"/>
      <c r="SLE67" s="5"/>
      <c r="SLF67" s="5"/>
      <c r="SLG67" s="5"/>
      <c r="SLH67" s="5"/>
      <c r="SLI67" s="5"/>
      <c r="SLJ67" s="5"/>
      <c r="SLK67" s="5"/>
      <c r="SLL67" s="5"/>
      <c r="SLM67" s="5"/>
      <c r="SLN67" s="5"/>
      <c r="SLO67" s="5"/>
      <c r="SLP67" s="5"/>
      <c r="SLQ67" s="5"/>
      <c r="SLR67" s="5"/>
      <c r="SLS67" s="5"/>
      <c r="SLT67" s="5"/>
      <c r="SLU67" s="5"/>
      <c r="SLV67" s="5"/>
      <c r="SLW67" s="5"/>
      <c r="SLX67" s="5"/>
      <c r="SLY67" s="5"/>
      <c r="SLZ67" s="5"/>
      <c r="SMA67" s="5"/>
      <c r="SMB67" s="5"/>
      <c r="SMC67" s="5"/>
      <c r="SMD67" s="5"/>
      <c r="SME67" s="5"/>
      <c r="SMF67" s="5"/>
      <c r="SMG67" s="5"/>
      <c r="SMH67" s="5"/>
      <c r="SMI67" s="5"/>
      <c r="SMJ67" s="5"/>
      <c r="SMK67" s="5"/>
      <c r="SML67" s="5"/>
      <c r="SMM67" s="5"/>
      <c r="SMN67" s="5"/>
      <c r="SMO67" s="5"/>
      <c r="SMP67" s="5"/>
      <c r="SMQ67" s="5"/>
      <c r="SMR67" s="5"/>
      <c r="SMS67" s="5"/>
      <c r="SMT67" s="5"/>
      <c r="SMU67" s="5"/>
      <c r="SMV67" s="5"/>
      <c r="SMW67" s="5"/>
      <c r="SMX67" s="5"/>
      <c r="SMY67" s="5"/>
      <c r="SMZ67" s="5"/>
      <c r="SNA67" s="5"/>
      <c r="SNB67" s="5"/>
      <c r="SNC67" s="5"/>
      <c r="SND67" s="5"/>
      <c r="SNE67" s="5"/>
      <c r="SNF67" s="5"/>
      <c r="SNG67" s="5"/>
      <c r="SNH67" s="5"/>
      <c r="SNI67" s="5"/>
      <c r="SNJ67" s="5"/>
      <c r="SNK67" s="5"/>
      <c r="SNL67" s="5"/>
      <c r="SNM67" s="5"/>
      <c r="SNN67" s="5"/>
      <c r="SNO67" s="5"/>
      <c r="SNP67" s="5"/>
      <c r="SNQ67" s="5"/>
      <c r="SNR67" s="5"/>
      <c r="SNS67" s="5"/>
      <c r="SNT67" s="5"/>
      <c r="SNU67" s="5"/>
      <c r="SNV67" s="5"/>
      <c r="SNW67" s="5"/>
      <c r="SNX67" s="5"/>
      <c r="SNY67" s="5"/>
      <c r="SNZ67" s="5"/>
      <c r="SOA67" s="5"/>
      <c r="SOB67" s="5"/>
      <c r="SOC67" s="5"/>
      <c r="SOD67" s="5"/>
      <c r="SOE67" s="5"/>
      <c r="SOF67" s="5"/>
      <c r="SOG67" s="5"/>
      <c r="SOH67" s="5"/>
      <c r="SOI67" s="5"/>
      <c r="SOJ67" s="5"/>
      <c r="SOK67" s="5"/>
      <c r="SOL67" s="5"/>
      <c r="SOM67" s="5"/>
      <c r="SON67" s="5"/>
      <c r="SOO67" s="5"/>
      <c r="SOP67" s="5"/>
      <c r="SOQ67" s="5"/>
      <c r="SOR67" s="5"/>
      <c r="SOS67" s="5"/>
      <c r="SOT67" s="5"/>
      <c r="SOU67" s="5"/>
      <c r="SOV67" s="5"/>
      <c r="SOW67" s="5"/>
      <c r="SOX67" s="5"/>
      <c r="SOY67" s="5"/>
      <c r="SOZ67" s="5"/>
      <c r="SPA67" s="5"/>
      <c r="SPB67" s="5"/>
      <c r="SPC67" s="5"/>
      <c r="SPD67" s="5"/>
      <c r="SPE67" s="5"/>
      <c r="SPF67" s="5"/>
      <c r="SPG67" s="5"/>
      <c r="SPH67" s="5"/>
      <c r="SPI67" s="5"/>
      <c r="SPJ67" s="5"/>
      <c r="SPK67" s="5"/>
      <c r="SPL67" s="5"/>
      <c r="SPM67" s="5"/>
      <c r="SPN67" s="5"/>
      <c r="SPO67" s="5"/>
      <c r="SPP67" s="5"/>
      <c r="SPQ67" s="5"/>
      <c r="SPR67" s="5"/>
      <c r="SPS67" s="5"/>
      <c r="SPT67" s="5"/>
      <c r="SPU67" s="5"/>
      <c r="SPV67" s="5"/>
      <c r="SPW67" s="5"/>
      <c r="SPX67" s="5"/>
      <c r="SPY67" s="5"/>
      <c r="SPZ67" s="5"/>
      <c r="SQA67" s="5"/>
      <c r="SQB67" s="5"/>
      <c r="SQC67" s="5"/>
      <c r="SQD67" s="5"/>
      <c r="SQE67" s="5"/>
      <c r="SQF67" s="5"/>
      <c r="SQG67" s="5"/>
      <c r="SQH67" s="5"/>
      <c r="SQI67" s="5"/>
      <c r="SQJ67" s="5"/>
      <c r="SQK67" s="5"/>
      <c r="SQL67" s="5"/>
      <c r="SQM67" s="5"/>
      <c r="SQN67" s="5"/>
      <c r="SQO67" s="5"/>
      <c r="SQP67" s="5"/>
      <c r="SQQ67" s="5"/>
      <c r="SQR67" s="5"/>
      <c r="SQS67" s="5"/>
      <c r="SQT67" s="5"/>
      <c r="SQU67" s="5"/>
      <c r="SQV67" s="5"/>
      <c r="SQW67" s="5"/>
      <c r="SQX67" s="5"/>
      <c r="SQY67" s="5"/>
      <c r="SQZ67" s="5"/>
      <c r="SRA67" s="5"/>
      <c r="SRB67" s="5"/>
      <c r="SRC67" s="5"/>
      <c r="SRD67" s="5"/>
      <c r="SRE67" s="5"/>
      <c r="SRF67" s="5"/>
      <c r="SRG67" s="5"/>
      <c r="SRH67" s="5"/>
      <c r="SRI67" s="5"/>
      <c r="SRJ67" s="5"/>
      <c r="SRK67" s="5"/>
      <c r="SRL67" s="5"/>
      <c r="SRM67" s="5"/>
      <c r="SRN67" s="5"/>
      <c r="SRO67" s="5"/>
      <c r="SRP67" s="5"/>
      <c r="SRQ67" s="5"/>
      <c r="SRR67" s="5"/>
      <c r="SRS67" s="5"/>
      <c r="SRT67" s="5"/>
      <c r="SRU67" s="5"/>
      <c r="SRV67" s="5"/>
      <c r="SRW67" s="5"/>
      <c r="SRX67" s="5"/>
      <c r="SRY67" s="5"/>
      <c r="SRZ67" s="5"/>
      <c r="SSA67" s="5"/>
      <c r="SSB67" s="5"/>
      <c r="SSC67" s="5"/>
      <c r="SSD67" s="5"/>
      <c r="SSE67" s="5"/>
      <c r="SSF67" s="5"/>
      <c r="SSG67" s="5"/>
      <c r="SSH67" s="5"/>
      <c r="SSI67" s="5"/>
      <c r="SSJ67" s="5"/>
      <c r="SSK67" s="5"/>
      <c r="SSL67" s="5"/>
      <c r="SSM67" s="5"/>
      <c r="SSN67" s="5"/>
      <c r="SSO67" s="5"/>
      <c r="SSP67" s="5"/>
      <c r="SSQ67" s="5"/>
      <c r="SSR67" s="5"/>
      <c r="SSS67" s="5"/>
      <c r="SST67" s="5"/>
      <c r="SSU67" s="5"/>
      <c r="SSV67" s="5"/>
      <c r="SSW67" s="5"/>
      <c r="SSX67" s="5"/>
      <c r="SSY67" s="5"/>
      <c r="SSZ67" s="5"/>
      <c r="STA67" s="5"/>
      <c r="STB67" s="5"/>
      <c r="STC67" s="5"/>
      <c r="STD67" s="5"/>
      <c r="STE67" s="5"/>
      <c r="STF67" s="5"/>
      <c r="STG67" s="5"/>
      <c r="STH67" s="5"/>
      <c r="STI67" s="5"/>
      <c r="STJ67" s="5"/>
      <c r="STK67" s="5"/>
      <c r="STL67" s="5"/>
      <c r="STM67" s="5"/>
      <c r="STN67" s="5"/>
      <c r="STO67" s="5"/>
      <c r="STP67" s="5"/>
      <c r="STQ67" s="5"/>
      <c r="STR67" s="5"/>
      <c r="STS67" s="5"/>
      <c r="STT67" s="5"/>
      <c r="STU67" s="5"/>
      <c r="STV67" s="5"/>
      <c r="STW67" s="5"/>
      <c r="STX67" s="5"/>
      <c r="STY67" s="5"/>
      <c r="STZ67" s="5"/>
      <c r="SUA67" s="5"/>
      <c r="SUB67" s="5"/>
      <c r="SUC67" s="5"/>
      <c r="SUD67" s="5"/>
      <c r="SUE67" s="5"/>
      <c r="SUF67" s="5"/>
      <c r="SUG67" s="5"/>
      <c r="SUH67" s="5"/>
      <c r="SUI67" s="5"/>
      <c r="SUJ67" s="5"/>
      <c r="SUK67" s="5"/>
      <c r="SUL67" s="5"/>
      <c r="SUM67" s="5"/>
      <c r="SUN67" s="5"/>
      <c r="SUO67" s="5"/>
      <c r="SUP67" s="5"/>
      <c r="SUQ67" s="5"/>
      <c r="SUR67" s="5"/>
      <c r="SUS67" s="5"/>
      <c r="SUT67" s="5"/>
      <c r="SUU67" s="5"/>
      <c r="SUV67" s="5"/>
      <c r="SUW67" s="5"/>
      <c r="SUX67" s="5"/>
      <c r="SUY67" s="5"/>
      <c r="SUZ67" s="5"/>
      <c r="SVA67" s="5"/>
      <c r="SVB67" s="5"/>
      <c r="SVC67" s="5"/>
      <c r="SVD67" s="5"/>
      <c r="SVE67" s="5"/>
      <c r="SVF67" s="5"/>
      <c r="SVG67" s="5"/>
      <c r="SVH67" s="5"/>
      <c r="SVI67" s="5"/>
      <c r="SVJ67" s="5"/>
      <c r="SVK67" s="5"/>
      <c r="SVL67" s="5"/>
      <c r="SVM67" s="5"/>
      <c r="SVN67" s="5"/>
      <c r="SVO67" s="5"/>
      <c r="SVP67" s="5"/>
      <c r="SVQ67" s="5"/>
      <c r="SVR67" s="5"/>
      <c r="SVS67" s="5"/>
      <c r="SVT67" s="5"/>
      <c r="SVU67" s="5"/>
      <c r="SVV67" s="5"/>
      <c r="SVW67" s="5"/>
      <c r="SVX67" s="5"/>
      <c r="SVY67" s="5"/>
      <c r="SVZ67" s="5"/>
      <c r="SWA67" s="5"/>
      <c r="SWB67" s="5"/>
      <c r="SWC67" s="5"/>
      <c r="SWD67" s="5"/>
      <c r="SWE67" s="5"/>
      <c r="SWF67" s="5"/>
      <c r="SWG67" s="5"/>
      <c r="SWH67" s="5"/>
      <c r="SWI67" s="5"/>
      <c r="SWJ67" s="5"/>
      <c r="SWK67" s="5"/>
      <c r="SWL67" s="5"/>
      <c r="SWM67" s="5"/>
      <c r="SWN67" s="5"/>
      <c r="SWO67" s="5"/>
      <c r="SWP67" s="5"/>
      <c r="SWQ67" s="5"/>
      <c r="SWR67" s="5"/>
      <c r="SWS67" s="5"/>
      <c r="SWT67" s="5"/>
      <c r="SWU67" s="5"/>
      <c r="SWV67" s="5"/>
      <c r="SWW67" s="5"/>
      <c r="SWX67" s="5"/>
      <c r="SWY67" s="5"/>
      <c r="SWZ67" s="5"/>
      <c r="SXA67" s="5"/>
      <c r="SXB67" s="5"/>
      <c r="SXC67" s="5"/>
      <c r="SXD67" s="5"/>
      <c r="SXE67" s="5"/>
      <c r="SXF67" s="5"/>
      <c r="SXG67" s="5"/>
      <c r="SXH67" s="5"/>
      <c r="SXI67" s="5"/>
      <c r="SXJ67" s="5"/>
      <c r="SXK67" s="5"/>
      <c r="SXL67" s="5"/>
      <c r="SXM67" s="5"/>
      <c r="SXN67" s="5"/>
      <c r="SXO67" s="5"/>
      <c r="SXP67" s="5"/>
      <c r="SXQ67" s="5"/>
      <c r="SXR67" s="5"/>
      <c r="SXS67" s="5"/>
      <c r="SXT67" s="5"/>
      <c r="SXU67" s="5"/>
      <c r="SXV67" s="5"/>
      <c r="SXW67" s="5"/>
      <c r="SXX67" s="5"/>
      <c r="SXY67" s="5"/>
      <c r="SXZ67" s="5"/>
      <c r="SYA67" s="5"/>
      <c r="SYB67" s="5"/>
      <c r="SYC67" s="5"/>
      <c r="SYD67" s="5"/>
      <c r="SYE67" s="5"/>
      <c r="SYF67" s="5"/>
      <c r="SYG67" s="5"/>
      <c r="SYH67" s="5"/>
      <c r="SYI67" s="5"/>
      <c r="SYJ67" s="5"/>
      <c r="SYK67" s="5"/>
      <c r="SYL67" s="5"/>
      <c r="SYM67" s="5"/>
      <c r="SYN67" s="5"/>
      <c r="SYO67" s="5"/>
      <c r="SYP67" s="5"/>
      <c r="SYQ67" s="5"/>
      <c r="SYR67" s="5"/>
      <c r="SYS67" s="5"/>
      <c r="SYT67" s="5"/>
      <c r="SYU67" s="5"/>
      <c r="SYV67" s="5"/>
      <c r="SYW67" s="5"/>
      <c r="SYX67" s="5"/>
      <c r="SYY67" s="5"/>
      <c r="SYZ67" s="5"/>
      <c r="SZA67" s="5"/>
      <c r="SZB67" s="5"/>
      <c r="SZC67" s="5"/>
      <c r="SZD67" s="5"/>
      <c r="SZE67" s="5"/>
      <c r="SZF67" s="5"/>
      <c r="SZG67" s="5"/>
      <c r="SZH67" s="5"/>
      <c r="SZI67" s="5"/>
      <c r="SZJ67" s="5"/>
      <c r="SZK67" s="5"/>
      <c r="SZL67" s="5"/>
      <c r="SZM67" s="5"/>
      <c r="SZN67" s="5"/>
      <c r="SZO67" s="5"/>
      <c r="SZP67" s="5"/>
      <c r="SZQ67" s="5"/>
      <c r="SZR67" s="5"/>
      <c r="SZS67" s="5"/>
      <c r="SZT67" s="5"/>
      <c r="SZU67" s="5"/>
      <c r="SZV67" s="5"/>
      <c r="SZW67" s="5"/>
      <c r="SZX67" s="5"/>
      <c r="SZY67" s="5"/>
      <c r="SZZ67" s="5"/>
      <c r="TAA67" s="5"/>
      <c r="TAB67" s="5"/>
      <c r="TAC67" s="5"/>
      <c r="TAD67" s="5"/>
      <c r="TAE67" s="5"/>
      <c r="TAF67" s="5"/>
      <c r="TAG67" s="5"/>
      <c r="TAH67" s="5"/>
      <c r="TAI67" s="5"/>
      <c r="TAJ67" s="5"/>
      <c r="TAK67" s="5"/>
      <c r="TAL67" s="5"/>
      <c r="TAM67" s="5"/>
      <c r="TAN67" s="5"/>
      <c r="TAO67" s="5"/>
      <c r="TAP67" s="5"/>
      <c r="TAQ67" s="5"/>
      <c r="TAR67" s="5"/>
      <c r="TAS67" s="5"/>
      <c r="TAT67" s="5"/>
      <c r="TAU67" s="5"/>
      <c r="TAV67" s="5"/>
      <c r="TAW67" s="5"/>
      <c r="TAX67" s="5"/>
      <c r="TAY67" s="5"/>
      <c r="TAZ67" s="5"/>
      <c r="TBA67" s="5"/>
      <c r="TBB67" s="5"/>
      <c r="TBC67" s="5"/>
      <c r="TBD67" s="5"/>
      <c r="TBE67" s="5"/>
      <c r="TBF67" s="5"/>
      <c r="TBG67" s="5"/>
      <c r="TBH67" s="5"/>
      <c r="TBI67" s="5"/>
      <c r="TBJ67" s="5"/>
      <c r="TBK67" s="5"/>
      <c r="TBL67" s="5"/>
      <c r="TBM67" s="5"/>
      <c r="TBN67" s="5"/>
      <c r="TBO67" s="5"/>
      <c r="TBP67" s="5"/>
      <c r="TBQ67" s="5"/>
      <c r="TBR67" s="5"/>
      <c r="TBS67" s="5"/>
      <c r="TBT67" s="5"/>
      <c r="TBU67" s="5"/>
      <c r="TBV67" s="5"/>
      <c r="TBW67" s="5"/>
      <c r="TBX67" s="5"/>
      <c r="TBY67" s="5"/>
      <c r="TBZ67" s="5"/>
      <c r="TCA67" s="5"/>
      <c r="TCB67" s="5"/>
      <c r="TCC67" s="5"/>
      <c r="TCD67" s="5"/>
      <c r="TCE67" s="5"/>
      <c r="TCF67" s="5"/>
      <c r="TCG67" s="5"/>
      <c r="TCH67" s="5"/>
      <c r="TCI67" s="5"/>
      <c r="TCJ67" s="5"/>
      <c r="TCK67" s="5"/>
      <c r="TCL67" s="5"/>
      <c r="TCM67" s="5"/>
      <c r="TCN67" s="5"/>
      <c r="TCO67" s="5"/>
      <c r="TCP67" s="5"/>
      <c r="TCQ67" s="5"/>
      <c r="TCR67" s="5"/>
      <c r="TCS67" s="5"/>
      <c r="TCT67" s="5"/>
      <c r="TCU67" s="5"/>
      <c r="TCV67" s="5"/>
      <c r="TCW67" s="5"/>
      <c r="TCX67" s="5"/>
      <c r="TCY67" s="5"/>
      <c r="TCZ67" s="5"/>
      <c r="TDA67" s="5"/>
      <c r="TDB67" s="5"/>
      <c r="TDC67" s="5"/>
      <c r="TDD67" s="5"/>
      <c r="TDE67" s="5"/>
      <c r="TDF67" s="5"/>
      <c r="TDG67" s="5"/>
      <c r="TDH67" s="5"/>
      <c r="TDI67" s="5"/>
      <c r="TDJ67" s="5"/>
      <c r="TDK67" s="5"/>
      <c r="TDL67" s="5"/>
      <c r="TDM67" s="5"/>
      <c r="TDN67" s="5"/>
      <c r="TDO67" s="5"/>
      <c r="TDP67" s="5"/>
      <c r="TDQ67" s="5"/>
      <c r="TDR67" s="5"/>
      <c r="TDS67" s="5"/>
      <c r="TDT67" s="5"/>
      <c r="TDU67" s="5"/>
      <c r="TDV67" s="5"/>
      <c r="TDW67" s="5"/>
      <c r="TDX67" s="5"/>
      <c r="TDY67" s="5"/>
      <c r="TDZ67" s="5"/>
      <c r="TEA67" s="5"/>
      <c r="TEB67" s="5"/>
      <c r="TEC67" s="5"/>
      <c r="TED67" s="5"/>
      <c r="TEE67" s="5"/>
      <c r="TEF67" s="5"/>
      <c r="TEG67" s="5"/>
      <c r="TEH67" s="5"/>
      <c r="TEI67" s="5"/>
      <c r="TEJ67" s="5"/>
      <c r="TEK67" s="5"/>
      <c r="TEL67" s="5"/>
      <c r="TEM67" s="5"/>
      <c r="TEN67" s="5"/>
      <c r="TEO67" s="5"/>
      <c r="TEP67" s="5"/>
      <c r="TEQ67" s="5"/>
      <c r="TER67" s="5"/>
      <c r="TES67" s="5"/>
      <c r="TET67" s="5"/>
      <c r="TEU67" s="5"/>
      <c r="TEV67" s="5"/>
      <c r="TEW67" s="5"/>
      <c r="TEX67" s="5"/>
      <c r="TEY67" s="5"/>
      <c r="TEZ67" s="5"/>
      <c r="TFA67" s="5"/>
      <c r="TFB67" s="5"/>
      <c r="TFC67" s="5"/>
      <c r="TFD67" s="5"/>
      <c r="TFE67" s="5"/>
      <c r="TFF67" s="5"/>
      <c r="TFG67" s="5"/>
      <c r="TFH67" s="5"/>
      <c r="TFI67" s="5"/>
      <c r="TFJ67" s="5"/>
      <c r="TFK67" s="5"/>
      <c r="TFL67" s="5"/>
      <c r="TFM67" s="5"/>
      <c r="TFN67" s="5"/>
      <c r="TFO67" s="5"/>
      <c r="TFP67" s="5"/>
      <c r="TFQ67" s="5"/>
      <c r="TFR67" s="5"/>
      <c r="TFS67" s="5"/>
      <c r="TFT67" s="5"/>
      <c r="TFU67" s="5"/>
      <c r="TFV67" s="5"/>
      <c r="TFW67" s="5"/>
      <c r="TFX67" s="5"/>
      <c r="TFY67" s="5"/>
      <c r="TFZ67" s="5"/>
      <c r="TGA67" s="5"/>
      <c r="TGB67" s="5"/>
      <c r="TGC67" s="5"/>
      <c r="TGD67" s="5"/>
      <c r="TGE67" s="5"/>
      <c r="TGF67" s="5"/>
      <c r="TGG67" s="5"/>
      <c r="TGH67" s="5"/>
      <c r="TGI67" s="5"/>
      <c r="TGJ67" s="5"/>
      <c r="TGK67" s="5"/>
      <c r="TGL67" s="5"/>
      <c r="TGM67" s="5"/>
      <c r="TGN67" s="5"/>
      <c r="TGO67" s="5"/>
      <c r="TGP67" s="5"/>
      <c r="TGQ67" s="5"/>
      <c r="TGR67" s="5"/>
      <c r="TGS67" s="5"/>
      <c r="TGT67" s="5"/>
      <c r="TGU67" s="5"/>
      <c r="TGV67" s="5"/>
      <c r="TGW67" s="5"/>
      <c r="TGX67" s="5"/>
      <c r="TGY67" s="5"/>
      <c r="TGZ67" s="5"/>
      <c r="THA67" s="5"/>
      <c r="THB67" s="5"/>
      <c r="THC67" s="5"/>
      <c r="THD67" s="5"/>
      <c r="THE67" s="5"/>
      <c r="THF67" s="5"/>
      <c r="THG67" s="5"/>
      <c r="THH67" s="5"/>
      <c r="THI67" s="5"/>
      <c r="THJ67" s="5"/>
      <c r="THK67" s="5"/>
      <c r="THL67" s="5"/>
      <c r="THM67" s="5"/>
      <c r="THN67" s="5"/>
      <c r="THO67" s="5"/>
      <c r="THP67" s="5"/>
      <c r="THQ67" s="5"/>
      <c r="THR67" s="5"/>
      <c r="THS67" s="5"/>
      <c r="THT67" s="5"/>
      <c r="THU67" s="5"/>
      <c r="THV67" s="5"/>
      <c r="THW67" s="5"/>
      <c r="THX67" s="5"/>
      <c r="THY67" s="5"/>
      <c r="THZ67" s="5"/>
      <c r="TIA67" s="5"/>
      <c r="TIB67" s="5"/>
      <c r="TIC67" s="5"/>
      <c r="TID67" s="5"/>
      <c r="TIE67" s="5"/>
      <c r="TIF67" s="5"/>
      <c r="TIG67" s="5"/>
      <c r="TIH67" s="5"/>
      <c r="TII67" s="5"/>
      <c r="TIJ67" s="5"/>
      <c r="TIK67" s="5"/>
      <c r="TIL67" s="5"/>
      <c r="TIM67" s="5"/>
      <c r="TIN67" s="5"/>
      <c r="TIO67" s="5"/>
      <c r="TIP67" s="5"/>
      <c r="TIQ67" s="5"/>
      <c r="TIR67" s="5"/>
      <c r="TIS67" s="5"/>
      <c r="TIT67" s="5"/>
      <c r="TIU67" s="5"/>
      <c r="TIV67" s="5"/>
      <c r="TIW67" s="5"/>
      <c r="TIX67" s="5"/>
      <c r="TIY67" s="5"/>
      <c r="TIZ67" s="5"/>
      <c r="TJA67" s="5"/>
      <c r="TJB67" s="5"/>
      <c r="TJC67" s="5"/>
      <c r="TJD67" s="5"/>
      <c r="TJE67" s="5"/>
      <c r="TJF67" s="5"/>
      <c r="TJG67" s="5"/>
      <c r="TJH67" s="5"/>
      <c r="TJI67" s="5"/>
      <c r="TJJ67" s="5"/>
      <c r="TJK67" s="5"/>
      <c r="TJL67" s="5"/>
      <c r="TJM67" s="5"/>
      <c r="TJN67" s="5"/>
      <c r="TJO67" s="5"/>
      <c r="TJP67" s="5"/>
      <c r="TJQ67" s="5"/>
      <c r="TJR67" s="5"/>
      <c r="TJS67" s="5"/>
      <c r="TJT67" s="5"/>
      <c r="TJU67" s="5"/>
      <c r="TJV67" s="5"/>
      <c r="TJW67" s="5"/>
      <c r="TJX67" s="5"/>
      <c r="TJY67" s="5"/>
      <c r="TJZ67" s="5"/>
      <c r="TKA67" s="5"/>
      <c r="TKB67" s="5"/>
      <c r="TKC67" s="5"/>
      <c r="TKD67" s="5"/>
      <c r="TKE67" s="5"/>
      <c r="TKF67" s="5"/>
      <c r="TKG67" s="5"/>
      <c r="TKH67" s="5"/>
      <c r="TKI67" s="5"/>
      <c r="TKJ67" s="5"/>
      <c r="TKK67" s="5"/>
      <c r="TKL67" s="5"/>
      <c r="TKM67" s="5"/>
      <c r="TKN67" s="5"/>
      <c r="TKO67" s="5"/>
      <c r="TKP67" s="5"/>
      <c r="TKQ67" s="5"/>
      <c r="TKR67" s="5"/>
      <c r="TKS67" s="5"/>
      <c r="TKT67" s="5"/>
      <c r="TKU67" s="5"/>
      <c r="TKV67" s="5"/>
      <c r="TKW67" s="5"/>
      <c r="TKX67" s="5"/>
      <c r="TKY67" s="5"/>
      <c r="TKZ67" s="5"/>
      <c r="TLA67" s="5"/>
      <c r="TLB67" s="5"/>
      <c r="TLC67" s="5"/>
      <c r="TLD67" s="5"/>
      <c r="TLE67" s="5"/>
      <c r="TLF67" s="5"/>
      <c r="TLG67" s="5"/>
      <c r="TLH67" s="5"/>
      <c r="TLI67" s="5"/>
      <c r="TLJ67" s="5"/>
      <c r="TLK67" s="5"/>
      <c r="TLL67" s="5"/>
      <c r="TLM67" s="5"/>
      <c r="TLN67" s="5"/>
      <c r="TLO67" s="5"/>
      <c r="TLP67" s="5"/>
      <c r="TLQ67" s="5"/>
      <c r="TLR67" s="5"/>
      <c r="TLS67" s="5"/>
      <c r="TLT67" s="5"/>
      <c r="TLU67" s="5"/>
      <c r="TLV67" s="5"/>
      <c r="TLW67" s="5"/>
      <c r="TLX67" s="5"/>
      <c r="TLY67" s="5"/>
      <c r="TLZ67" s="5"/>
      <c r="TMA67" s="5"/>
      <c r="TMB67" s="5"/>
      <c r="TMC67" s="5"/>
      <c r="TMD67" s="5"/>
      <c r="TME67" s="5"/>
      <c r="TMF67" s="5"/>
      <c r="TMG67" s="5"/>
      <c r="TMH67" s="5"/>
      <c r="TMI67" s="5"/>
      <c r="TMJ67" s="5"/>
      <c r="TMK67" s="5"/>
      <c r="TML67" s="5"/>
      <c r="TMM67" s="5"/>
      <c r="TMN67" s="5"/>
      <c r="TMO67" s="5"/>
      <c r="TMP67" s="5"/>
      <c r="TMQ67" s="5"/>
      <c r="TMR67" s="5"/>
      <c r="TMS67" s="5"/>
      <c r="TMT67" s="5"/>
      <c r="TMU67" s="5"/>
      <c r="TMV67" s="5"/>
      <c r="TMW67" s="5"/>
      <c r="TMX67" s="5"/>
      <c r="TMY67" s="5"/>
      <c r="TMZ67" s="5"/>
      <c r="TNA67" s="5"/>
      <c r="TNB67" s="5"/>
      <c r="TNC67" s="5"/>
      <c r="TND67" s="5"/>
      <c r="TNE67" s="5"/>
      <c r="TNF67" s="5"/>
      <c r="TNG67" s="5"/>
      <c r="TNH67" s="5"/>
      <c r="TNI67" s="5"/>
      <c r="TNJ67" s="5"/>
      <c r="TNK67" s="5"/>
      <c r="TNL67" s="5"/>
      <c r="TNM67" s="5"/>
      <c r="TNN67" s="5"/>
      <c r="TNO67" s="5"/>
      <c r="TNP67" s="5"/>
      <c r="TNQ67" s="5"/>
      <c r="TNR67" s="5"/>
      <c r="TNS67" s="5"/>
      <c r="TNT67" s="5"/>
      <c r="TNU67" s="5"/>
      <c r="TNV67" s="5"/>
      <c r="TNW67" s="5"/>
      <c r="TNX67" s="5"/>
      <c r="TNY67" s="5"/>
      <c r="TNZ67" s="5"/>
      <c r="TOA67" s="5"/>
      <c r="TOB67" s="5"/>
      <c r="TOC67" s="5"/>
      <c r="TOD67" s="5"/>
      <c r="TOE67" s="5"/>
      <c r="TOF67" s="5"/>
      <c r="TOG67" s="5"/>
      <c r="TOH67" s="5"/>
      <c r="TOI67" s="5"/>
      <c r="TOJ67" s="5"/>
      <c r="TOK67" s="5"/>
      <c r="TOL67" s="5"/>
      <c r="TOM67" s="5"/>
      <c r="TON67" s="5"/>
      <c r="TOO67" s="5"/>
      <c r="TOP67" s="5"/>
      <c r="TOQ67" s="5"/>
      <c r="TOR67" s="5"/>
      <c r="TOS67" s="5"/>
      <c r="TOT67" s="5"/>
      <c r="TOU67" s="5"/>
      <c r="TOV67" s="5"/>
      <c r="TOW67" s="5"/>
      <c r="TOX67" s="5"/>
      <c r="TOY67" s="5"/>
      <c r="TOZ67" s="5"/>
      <c r="TPA67" s="5"/>
      <c r="TPB67" s="5"/>
      <c r="TPC67" s="5"/>
      <c r="TPD67" s="5"/>
      <c r="TPE67" s="5"/>
      <c r="TPF67" s="5"/>
      <c r="TPG67" s="5"/>
      <c r="TPH67" s="5"/>
      <c r="TPI67" s="5"/>
      <c r="TPJ67" s="5"/>
      <c r="TPK67" s="5"/>
      <c r="TPL67" s="5"/>
      <c r="TPM67" s="5"/>
      <c r="TPN67" s="5"/>
      <c r="TPO67" s="5"/>
      <c r="TPP67" s="5"/>
      <c r="TPQ67" s="5"/>
      <c r="TPR67" s="5"/>
      <c r="TPS67" s="5"/>
      <c r="TPT67" s="5"/>
      <c r="TPU67" s="5"/>
      <c r="TPV67" s="5"/>
      <c r="TPW67" s="5"/>
      <c r="TPX67" s="5"/>
      <c r="TPY67" s="5"/>
      <c r="TPZ67" s="5"/>
      <c r="TQA67" s="5"/>
      <c r="TQB67" s="5"/>
      <c r="TQC67" s="5"/>
      <c r="TQD67" s="5"/>
      <c r="TQE67" s="5"/>
      <c r="TQF67" s="5"/>
      <c r="TQG67" s="5"/>
      <c r="TQH67" s="5"/>
      <c r="TQI67" s="5"/>
      <c r="TQJ67" s="5"/>
      <c r="TQK67" s="5"/>
      <c r="TQL67" s="5"/>
      <c r="TQM67" s="5"/>
      <c r="TQN67" s="5"/>
      <c r="TQO67" s="5"/>
      <c r="TQP67" s="5"/>
      <c r="TQQ67" s="5"/>
      <c r="TQR67" s="5"/>
      <c r="TQS67" s="5"/>
      <c r="TQT67" s="5"/>
      <c r="TQU67" s="5"/>
      <c r="TQV67" s="5"/>
      <c r="TQW67" s="5"/>
      <c r="TQX67" s="5"/>
      <c r="TQY67" s="5"/>
      <c r="TQZ67" s="5"/>
      <c r="TRA67" s="5"/>
      <c r="TRB67" s="5"/>
      <c r="TRC67" s="5"/>
      <c r="TRD67" s="5"/>
      <c r="TRE67" s="5"/>
      <c r="TRF67" s="5"/>
      <c r="TRG67" s="5"/>
      <c r="TRH67" s="5"/>
      <c r="TRI67" s="5"/>
      <c r="TRJ67" s="5"/>
      <c r="TRK67" s="5"/>
      <c r="TRL67" s="5"/>
      <c r="TRM67" s="5"/>
      <c r="TRN67" s="5"/>
      <c r="TRO67" s="5"/>
      <c r="TRP67" s="5"/>
      <c r="TRQ67" s="5"/>
      <c r="TRR67" s="5"/>
      <c r="TRS67" s="5"/>
      <c r="TRT67" s="5"/>
      <c r="TRU67" s="5"/>
      <c r="TRV67" s="5"/>
      <c r="TRW67" s="5"/>
      <c r="TRX67" s="5"/>
      <c r="TRY67" s="5"/>
      <c r="TRZ67" s="5"/>
      <c r="TSA67" s="5"/>
      <c r="TSB67" s="5"/>
      <c r="TSC67" s="5"/>
      <c r="TSD67" s="5"/>
      <c r="TSE67" s="5"/>
      <c r="TSF67" s="5"/>
      <c r="TSG67" s="5"/>
      <c r="TSH67" s="5"/>
      <c r="TSI67" s="5"/>
      <c r="TSJ67" s="5"/>
      <c r="TSK67" s="5"/>
      <c r="TSL67" s="5"/>
      <c r="TSM67" s="5"/>
      <c r="TSN67" s="5"/>
      <c r="TSO67" s="5"/>
      <c r="TSP67" s="5"/>
      <c r="TSQ67" s="5"/>
      <c r="TSR67" s="5"/>
      <c r="TSS67" s="5"/>
      <c r="TST67" s="5"/>
      <c r="TSU67" s="5"/>
      <c r="TSV67" s="5"/>
      <c r="TSW67" s="5"/>
      <c r="TSX67" s="5"/>
      <c r="TSY67" s="5"/>
      <c r="TSZ67" s="5"/>
      <c r="TTA67" s="5"/>
      <c r="TTB67" s="5"/>
      <c r="TTC67" s="5"/>
      <c r="TTD67" s="5"/>
      <c r="TTE67" s="5"/>
      <c r="TTF67" s="5"/>
      <c r="TTG67" s="5"/>
      <c r="TTH67" s="5"/>
      <c r="TTI67" s="5"/>
      <c r="TTJ67" s="5"/>
      <c r="TTK67" s="5"/>
      <c r="TTL67" s="5"/>
      <c r="TTM67" s="5"/>
      <c r="TTN67" s="5"/>
      <c r="TTO67" s="5"/>
      <c r="TTP67" s="5"/>
      <c r="TTQ67" s="5"/>
      <c r="TTR67" s="5"/>
      <c r="TTS67" s="5"/>
      <c r="TTT67" s="5"/>
      <c r="TTU67" s="5"/>
      <c r="TTV67" s="5"/>
      <c r="TTW67" s="5"/>
      <c r="TTX67" s="5"/>
      <c r="TTY67" s="5"/>
      <c r="TTZ67" s="5"/>
      <c r="TUA67" s="5"/>
      <c r="TUB67" s="5"/>
      <c r="TUC67" s="5"/>
      <c r="TUD67" s="5"/>
      <c r="TUE67" s="5"/>
      <c r="TUF67" s="5"/>
      <c r="TUG67" s="5"/>
      <c r="TUH67" s="5"/>
      <c r="TUI67" s="5"/>
      <c r="TUJ67" s="5"/>
      <c r="TUK67" s="5"/>
      <c r="TUL67" s="5"/>
      <c r="TUM67" s="5"/>
      <c r="TUN67" s="5"/>
      <c r="TUO67" s="5"/>
      <c r="TUP67" s="5"/>
      <c r="TUQ67" s="5"/>
      <c r="TUR67" s="5"/>
      <c r="TUS67" s="5"/>
      <c r="TUT67" s="5"/>
      <c r="TUU67" s="5"/>
      <c r="TUV67" s="5"/>
      <c r="TUW67" s="5"/>
      <c r="TUX67" s="5"/>
      <c r="TUY67" s="5"/>
      <c r="TUZ67" s="5"/>
      <c r="TVA67" s="5"/>
      <c r="TVB67" s="5"/>
      <c r="TVC67" s="5"/>
      <c r="TVD67" s="5"/>
      <c r="TVE67" s="5"/>
      <c r="TVF67" s="5"/>
      <c r="TVG67" s="5"/>
      <c r="TVH67" s="5"/>
      <c r="TVI67" s="5"/>
      <c r="TVJ67" s="5"/>
      <c r="TVK67" s="5"/>
      <c r="TVL67" s="5"/>
      <c r="TVM67" s="5"/>
      <c r="TVN67" s="5"/>
      <c r="TVO67" s="5"/>
      <c r="TVP67" s="5"/>
      <c r="TVQ67" s="5"/>
      <c r="TVR67" s="5"/>
      <c r="TVS67" s="5"/>
      <c r="TVT67" s="5"/>
      <c r="TVU67" s="5"/>
      <c r="TVV67" s="5"/>
      <c r="TVW67" s="5"/>
      <c r="TVX67" s="5"/>
      <c r="TVY67" s="5"/>
      <c r="TVZ67" s="5"/>
      <c r="TWA67" s="5"/>
      <c r="TWB67" s="5"/>
      <c r="TWC67" s="5"/>
      <c r="TWD67" s="5"/>
      <c r="TWE67" s="5"/>
      <c r="TWF67" s="5"/>
      <c r="TWG67" s="5"/>
      <c r="TWH67" s="5"/>
      <c r="TWI67" s="5"/>
      <c r="TWJ67" s="5"/>
      <c r="TWK67" s="5"/>
      <c r="TWL67" s="5"/>
      <c r="TWM67" s="5"/>
      <c r="TWN67" s="5"/>
      <c r="TWO67" s="5"/>
      <c r="TWP67" s="5"/>
      <c r="TWQ67" s="5"/>
      <c r="TWR67" s="5"/>
      <c r="TWS67" s="5"/>
      <c r="TWT67" s="5"/>
      <c r="TWU67" s="5"/>
      <c r="TWV67" s="5"/>
      <c r="TWW67" s="5"/>
      <c r="TWX67" s="5"/>
      <c r="TWY67" s="5"/>
      <c r="TWZ67" s="5"/>
      <c r="TXA67" s="5"/>
      <c r="TXB67" s="5"/>
      <c r="TXC67" s="5"/>
      <c r="TXD67" s="5"/>
      <c r="TXE67" s="5"/>
      <c r="TXF67" s="5"/>
      <c r="TXG67" s="5"/>
      <c r="TXH67" s="5"/>
      <c r="TXI67" s="5"/>
      <c r="TXJ67" s="5"/>
      <c r="TXK67" s="5"/>
      <c r="TXL67" s="5"/>
      <c r="TXM67" s="5"/>
      <c r="TXN67" s="5"/>
      <c r="TXO67" s="5"/>
      <c r="TXP67" s="5"/>
      <c r="TXQ67" s="5"/>
      <c r="TXR67" s="5"/>
      <c r="TXS67" s="5"/>
      <c r="TXT67" s="5"/>
      <c r="TXU67" s="5"/>
      <c r="TXV67" s="5"/>
      <c r="TXW67" s="5"/>
      <c r="TXX67" s="5"/>
      <c r="TXY67" s="5"/>
      <c r="TXZ67" s="5"/>
      <c r="TYA67" s="5"/>
      <c r="TYB67" s="5"/>
      <c r="TYC67" s="5"/>
      <c r="TYD67" s="5"/>
      <c r="TYE67" s="5"/>
      <c r="TYF67" s="5"/>
      <c r="TYG67" s="5"/>
      <c r="TYH67" s="5"/>
      <c r="TYI67" s="5"/>
      <c r="TYJ67" s="5"/>
      <c r="TYK67" s="5"/>
      <c r="TYL67" s="5"/>
      <c r="TYM67" s="5"/>
      <c r="TYN67" s="5"/>
      <c r="TYO67" s="5"/>
      <c r="TYP67" s="5"/>
      <c r="TYQ67" s="5"/>
      <c r="TYR67" s="5"/>
      <c r="TYS67" s="5"/>
      <c r="TYT67" s="5"/>
      <c r="TYU67" s="5"/>
      <c r="TYV67" s="5"/>
      <c r="TYW67" s="5"/>
      <c r="TYX67" s="5"/>
      <c r="TYY67" s="5"/>
      <c r="TYZ67" s="5"/>
      <c r="TZA67" s="5"/>
      <c r="TZB67" s="5"/>
      <c r="TZC67" s="5"/>
      <c r="TZD67" s="5"/>
      <c r="TZE67" s="5"/>
      <c r="TZF67" s="5"/>
      <c r="TZG67" s="5"/>
      <c r="TZH67" s="5"/>
      <c r="TZI67" s="5"/>
      <c r="TZJ67" s="5"/>
      <c r="TZK67" s="5"/>
      <c r="TZL67" s="5"/>
      <c r="TZM67" s="5"/>
      <c r="TZN67" s="5"/>
      <c r="TZO67" s="5"/>
      <c r="TZP67" s="5"/>
      <c r="TZQ67" s="5"/>
      <c r="TZR67" s="5"/>
      <c r="TZS67" s="5"/>
      <c r="TZT67" s="5"/>
      <c r="TZU67" s="5"/>
      <c r="TZV67" s="5"/>
      <c r="TZW67" s="5"/>
      <c r="TZX67" s="5"/>
      <c r="TZY67" s="5"/>
      <c r="TZZ67" s="5"/>
      <c r="UAA67" s="5"/>
      <c r="UAB67" s="5"/>
      <c r="UAC67" s="5"/>
      <c r="UAD67" s="5"/>
      <c r="UAE67" s="5"/>
      <c r="UAF67" s="5"/>
      <c r="UAG67" s="5"/>
      <c r="UAH67" s="5"/>
      <c r="UAI67" s="5"/>
      <c r="UAJ67" s="5"/>
      <c r="UAK67" s="5"/>
      <c r="UAL67" s="5"/>
      <c r="UAM67" s="5"/>
      <c r="UAN67" s="5"/>
      <c r="UAO67" s="5"/>
      <c r="UAP67" s="5"/>
      <c r="UAQ67" s="5"/>
      <c r="UAR67" s="5"/>
      <c r="UAS67" s="5"/>
      <c r="UAT67" s="5"/>
      <c r="UAU67" s="5"/>
      <c r="UAV67" s="5"/>
      <c r="UAW67" s="5"/>
      <c r="UAX67" s="5"/>
      <c r="UAY67" s="5"/>
      <c r="UAZ67" s="5"/>
      <c r="UBA67" s="5"/>
      <c r="UBB67" s="5"/>
      <c r="UBC67" s="5"/>
      <c r="UBD67" s="5"/>
      <c r="UBE67" s="5"/>
      <c r="UBF67" s="5"/>
      <c r="UBG67" s="5"/>
      <c r="UBH67" s="5"/>
      <c r="UBI67" s="5"/>
      <c r="UBJ67" s="5"/>
      <c r="UBK67" s="5"/>
      <c r="UBL67" s="5"/>
      <c r="UBM67" s="5"/>
      <c r="UBN67" s="5"/>
      <c r="UBO67" s="5"/>
      <c r="UBP67" s="5"/>
      <c r="UBQ67" s="5"/>
      <c r="UBR67" s="5"/>
      <c r="UBS67" s="5"/>
      <c r="UBT67" s="5"/>
      <c r="UBU67" s="5"/>
      <c r="UBV67" s="5"/>
      <c r="UBW67" s="5"/>
      <c r="UBX67" s="5"/>
      <c r="UBY67" s="5"/>
      <c r="UBZ67" s="5"/>
      <c r="UCA67" s="5"/>
      <c r="UCB67" s="5"/>
      <c r="UCC67" s="5"/>
      <c r="UCD67" s="5"/>
      <c r="UCE67" s="5"/>
      <c r="UCF67" s="5"/>
      <c r="UCG67" s="5"/>
      <c r="UCH67" s="5"/>
      <c r="UCI67" s="5"/>
      <c r="UCJ67" s="5"/>
      <c r="UCK67" s="5"/>
      <c r="UCL67" s="5"/>
      <c r="UCM67" s="5"/>
      <c r="UCN67" s="5"/>
      <c r="UCO67" s="5"/>
      <c r="UCP67" s="5"/>
      <c r="UCQ67" s="5"/>
      <c r="UCR67" s="5"/>
      <c r="UCS67" s="5"/>
      <c r="UCT67" s="5"/>
      <c r="UCU67" s="5"/>
      <c r="UCV67" s="5"/>
      <c r="UCW67" s="5"/>
      <c r="UCX67" s="5"/>
      <c r="UCY67" s="5"/>
      <c r="UCZ67" s="5"/>
      <c r="UDA67" s="5"/>
      <c r="UDB67" s="5"/>
      <c r="UDC67" s="5"/>
      <c r="UDD67" s="5"/>
      <c r="UDE67" s="5"/>
      <c r="UDF67" s="5"/>
      <c r="UDG67" s="5"/>
      <c r="UDH67" s="5"/>
      <c r="UDI67" s="5"/>
      <c r="UDJ67" s="5"/>
      <c r="UDK67" s="5"/>
      <c r="UDL67" s="5"/>
      <c r="UDM67" s="5"/>
      <c r="UDN67" s="5"/>
      <c r="UDO67" s="5"/>
      <c r="UDP67" s="5"/>
      <c r="UDQ67" s="5"/>
      <c r="UDR67" s="5"/>
      <c r="UDS67" s="5"/>
      <c r="UDT67" s="5"/>
      <c r="UDU67" s="5"/>
      <c r="UDV67" s="5"/>
      <c r="UDW67" s="5"/>
      <c r="UDX67" s="5"/>
      <c r="UDY67" s="5"/>
      <c r="UDZ67" s="5"/>
      <c r="UEA67" s="5"/>
      <c r="UEB67" s="5"/>
      <c r="UEC67" s="5"/>
      <c r="UED67" s="5"/>
      <c r="UEE67" s="5"/>
      <c r="UEF67" s="5"/>
      <c r="UEG67" s="5"/>
      <c r="UEH67" s="5"/>
      <c r="UEI67" s="5"/>
      <c r="UEJ67" s="5"/>
      <c r="UEK67" s="5"/>
      <c r="UEL67" s="5"/>
      <c r="UEM67" s="5"/>
      <c r="UEN67" s="5"/>
      <c r="UEO67" s="5"/>
      <c r="UEP67" s="5"/>
      <c r="UEQ67" s="5"/>
      <c r="UER67" s="5"/>
      <c r="UES67" s="5"/>
      <c r="UET67" s="5"/>
      <c r="UEU67" s="5"/>
      <c r="UEV67" s="5"/>
      <c r="UEW67" s="5"/>
      <c r="UEX67" s="5"/>
      <c r="UEY67" s="5"/>
      <c r="UEZ67" s="5"/>
      <c r="UFA67" s="5"/>
      <c r="UFB67" s="5"/>
      <c r="UFC67" s="5"/>
      <c r="UFD67" s="5"/>
      <c r="UFE67" s="5"/>
      <c r="UFF67" s="5"/>
      <c r="UFG67" s="5"/>
      <c r="UFH67" s="5"/>
      <c r="UFI67" s="5"/>
      <c r="UFJ67" s="5"/>
      <c r="UFK67" s="5"/>
      <c r="UFL67" s="5"/>
      <c r="UFM67" s="5"/>
      <c r="UFN67" s="5"/>
      <c r="UFO67" s="5"/>
      <c r="UFP67" s="5"/>
      <c r="UFQ67" s="5"/>
      <c r="UFR67" s="5"/>
      <c r="UFS67" s="5"/>
      <c r="UFT67" s="5"/>
      <c r="UFU67" s="5"/>
      <c r="UFV67" s="5"/>
      <c r="UFW67" s="5"/>
      <c r="UFX67" s="5"/>
      <c r="UFY67" s="5"/>
      <c r="UFZ67" s="5"/>
      <c r="UGA67" s="5"/>
      <c r="UGB67" s="5"/>
      <c r="UGC67" s="5"/>
      <c r="UGD67" s="5"/>
      <c r="UGE67" s="5"/>
      <c r="UGF67" s="5"/>
      <c r="UGG67" s="5"/>
      <c r="UGH67" s="5"/>
      <c r="UGI67" s="5"/>
      <c r="UGJ67" s="5"/>
      <c r="UGK67" s="5"/>
      <c r="UGL67" s="5"/>
      <c r="UGM67" s="5"/>
      <c r="UGN67" s="5"/>
      <c r="UGO67" s="5"/>
      <c r="UGP67" s="5"/>
      <c r="UGQ67" s="5"/>
      <c r="UGR67" s="5"/>
      <c r="UGS67" s="5"/>
      <c r="UGT67" s="5"/>
      <c r="UGU67" s="5"/>
      <c r="UGV67" s="5"/>
      <c r="UGW67" s="5"/>
      <c r="UGX67" s="5"/>
      <c r="UGY67" s="5"/>
      <c r="UGZ67" s="5"/>
      <c r="UHA67" s="5"/>
      <c r="UHB67" s="5"/>
      <c r="UHC67" s="5"/>
      <c r="UHD67" s="5"/>
      <c r="UHE67" s="5"/>
      <c r="UHF67" s="5"/>
      <c r="UHG67" s="5"/>
      <c r="UHH67" s="5"/>
      <c r="UHI67" s="5"/>
      <c r="UHJ67" s="5"/>
      <c r="UHK67" s="5"/>
      <c r="UHL67" s="5"/>
      <c r="UHM67" s="5"/>
      <c r="UHN67" s="5"/>
      <c r="UHO67" s="5"/>
      <c r="UHP67" s="5"/>
      <c r="UHQ67" s="5"/>
      <c r="UHR67" s="5"/>
      <c r="UHS67" s="5"/>
      <c r="UHT67" s="5"/>
      <c r="UHU67" s="5"/>
      <c r="UHV67" s="5"/>
      <c r="UHW67" s="5"/>
      <c r="UHX67" s="5"/>
      <c r="UHY67" s="5"/>
      <c r="UHZ67" s="5"/>
      <c r="UIA67" s="5"/>
      <c r="UIB67" s="5"/>
      <c r="UIC67" s="5"/>
      <c r="UID67" s="5"/>
      <c r="UIE67" s="5"/>
      <c r="UIF67" s="5"/>
      <c r="UIG67" s="5"/>
      <c r="UIH67" s="5"/>
      <c r="UII67" s="5"/>
      <c r="UIJ67" s="5"/>
      <c r="UIK67" s="5"/>
      <c r="UIL67" s="5"/>
      <c r="UIM67" s="5"/>
      <c r="UIN67" s="5"/>
      <c r="UIO67" s="5"/>
      <c r="UIP67" s="5"/>
      <c r="UIQ67" s="5"/>
      <c r="UIR67" s="5"/>
      <c r="UIS67" s="5"/>
      <c r="UIT67" s="5"/>
      <c r="UIU67" s="5"/>
      <c r="UIV67" s="5"/>
      <c r="UIW67" s="5"/>
      <c r="UIX67" s="5"/>
      <c r="UIY67" s="5"/>
      <c r="UIZ67" s="5"/>
      <c r="UJA67" s="5"/>
      <c r="UJB67" s="5"/>
      <c r="UJC67" s="5"/>
      <c r="UJD67" s="5"/>
      <c r="UJE67" s="5"/>
      <c r="UJF67" s="5"/>
      <c r="UJG67" s="5"/>
      <c r="UJH67" s="5"/>
      <c r="UJI67" s="5"/>
      <c r="UJJ67" s="5"/>
      <c r="UJK67" s="5"/>
      <c r="UJL67" s="5"/>
      <c r="UJM67" s="5"/>
      <c r="UJN67" s="5"/>
      <c r="UJO67" s="5"/>
      <c r="UJP67" s="5"/>
      <c r="UJQ67" s="5"/>
      <c r="UJR67" s="5"/>
      <c r="UJS67" s="5"/>
      <c r="UJT67" s="5"/>
      <c r="UJU67" s="5"/>
      <c r="UJV67" s="5"/>
      <c r="UJW67" s="5"/>
      <c r="UJX67" s="5"/>
      <c r="UJY67" s="5"/>
      <c r="UJZ67" s="5"/>
      <c r="UKA67" s="5"/>
      <c r="UKB67" s="5"/>
      <c r="UKC67" s="5"/>
      <c r="UKD67" s="5"/>
      <c r="UKE67" s="5"/>
      <c r="UKF67" s="5"/>
      <c r="UKG67" s="5"/>
      <c r="UKH67" s="5"/>
      <c r="UKI67" s="5"/>
      <c r="UKJ67" s="5"/>
      <c r="UKK67" s="5"/>
      <c r="UKL67" s="5"/>
      <c r="UKM67" s="5"/>
      <c r="UKN67" s="5"/>
      <c r="UKO67" s="5"/>
      <c r="UKP67" s="5"/>
      <c r="UKQ67" s="5"/>
      <c r="UKR67" s="5"/>
      <c r="UKS67" s="5"/>
      <c r="UKT67" s="5"/>
      <c r="UKU67" s="5"/>
      <c r="UKV67" s="5"/>
      <c r="UKW67" s="5"/>
      <c r="UKX67" s="5"/>
      <c r="UKY67" s="5"/>
      <c r="UKZ67" s="5"/>
      <c r="ULA67" s="5"/>
      <c r="ULB67" s="5"/>
      <c r="ULC67" s="5"/>
      <c r="ULD67" s="5"/>
      <c r="ULE67" s="5"/>
      <c r="ULF67" s="5"/>
      <c r="ULG67" s="5"/>
      <c r="ULH67" s="5"/>
      <c r="ULI67" s="5"/>
      <c r="ULJ67" s="5"/>
      <c r="ULK67" s="5"/>
      <c r="ULL67" s="5"/>
      <c r="ULM67" s="5"/>
      <c r="ULN67" s="5"/>
      <c r="ULO67" s="5"/>
      <c r="ULP67" s="5"/>
      <c r="ULQ67" s="5"/>
      <c r="ULR67" s="5"/>
      <c r="ULS67" s="5"/>
      <c r="ULT67" s="5"/>
      <c r="ULU67" s="5"/>
      <c r="ULV67" s="5"/>
      <c r="ULW67" s="5"/>
      <c r="ULX67" s="5"/>
      <c r="ULY67" s="5"/>
      <c r="ULZ67" s="5"/>
      <c r="UMA67" s="5"/>
      <c r="UMB67" s="5"/>
      <c r="UMC67" s="5"/>
      <c r="UMD67" s="5"/>
      <c r="UME67" s="5"/>
      <c r="UMF67" s="5"/>
      <c r="UMG67" s="5"/>
      <c r="UMH67" s="5"/>
      <c r="UMI67" s="5"/>
      <c r="UMJ67" s="5"/>
      <c r="UMK67" s="5"/>
      <c r="UML67" s="5"/>
      <c r="UMM67" s="5"/>
      <c r="UMN67" s="5"/>
      <c r="UMO67" s="5"/>
      <c r="UMP67" s="5"/>
      <c r="UMQ67" s="5"/>
      <c r="UMR67" s="5"/>
      <c r="UMS67" s="5"/>
      <c r="UMT67" s="5"/>
      <c r="UMU67" s="5"/>
      <c r="UMV67" s="5"/>
      <c r="UMW67" s="5"/>
      <c r="UMX67" s="5"/>
      <c r="UMY67" s="5"/>
      <c r="UMZ67" s="5"/>
      <c r="UNA67" s="5"/>
      <c r="UNB67" s="5"/>
      <c r="UNC67" s="5"/>
      <c r="UND67" s="5"/>
      <c r="UNE67" s="5"/>
      <c r="UNF67" s="5"/>
      <c r="UNG67" s="5"/>
      <c r="UNH67" s="5"/>
      <c r="UNI67" s="5"/>
      <c r="UNJ67" s="5"/>
      <c r="UNK67" s="5"/>
      <c r="UNL67" s="5"/>
      <c r="UNM67" s="5"/>
      <c r="UNN67" s="5"/>
      <c r="UNO67" s="5"/>
      <c r="UNP67" s="5"/>
      <c r="UNQ67" s="5"/>
      <c r="UNR67" s="5"/>
      <c r="UNS67" s="5"/>
      <c r="UNT67" s="5"/>
      <c r="UNU67" s="5"/>
      <c r="UNV67" s="5"/>
      <c r="UNW67" s="5"/>
      <c r="UNX67" s="5"/>
      <c r="UNY67" s="5"/>
      <c r="UNZ67" s="5"/>
      <c r="UOA67" s="5"/>
      <c r="UOB67" s="5"/>
      <c r="UOC67" s="5"/>
      <c r="UOD67" s="5"/>
      <c r="UOE67" s="5"/>
      <c r="UOF67" s="5"/>
      <c r="UOG67" s="5"/>
      <c r="UOH67" s="5"/>
      <c r="UOI67" s="5"/>
      <c r="UOJ67" s="5"/>
      <c r="UOK67" s="5"/>
      <c r="UOL67" s="5"/>
      <c r="UOM67" s="5"/>
      <c r="UON67" s="5"/>
      <c r="UOO67" s="5"/>
      <c r="UOP67" s="5"/>
      <c r="UOQ67" s="5"/>
      <c r="UOR67" s="5"/>
      <c r="UOS67" s="5"/>
      <c r="UOT67" s="5"/>
      <c r="UOU67" s="5"/>
      <c r="UOV67" s="5"/>
      <c r="UOW67" s="5"/>
      <c r="UOX67" s="5"/>
      <c r="UOY67" s="5"/>
      <c r="UOZ67" s="5"/>
      <c r="UPA67" s="5"/>
      <c r="UPB67" s="5"/>
      <c r="UPC67" s="5"/>
      <c r="UPD67" s="5"/>
      <c r="UPE67" s="5"/>
      <c r="UPF67" s="5"/>
      <c r="UPG67" s="5"/>
      <c r="UPH67" s="5"/>
      <c r="UPI67" s="5"/>
      <c r="UPJ67" s="5"/>
      <c r="UPK67" s="5"/>
      <c r="UPL67" s="5"/>
      <c r="UPM67" s="5"/>
      <c r="UPN67" s="5"/>
      <c r="UPO67" s="5"/>
      <c r="UPP67" s="5"/>
      <c r="UPQ67" s="5"/>
      <c r="UPR67" s="5"/>
      <c r="UPS67" s="5"/>
      <c r="UPT67" s="5"/>
      <c r="UPU67" s="5"/>
      <c r="UPV67" s="5"/>
      <c r="UPW67" s="5"/>
      <c r="UPX67" s="5"/>
      <c r="UPY67" s="5"/>
      <c r="UPZ67" s="5"/>
      <c r="UQA67" s="5"/>
      <c r="UQB67" s="5"/>
      <c r="UQC67" s="5"/>
      <c r="UQD67" s="5"/>
      <c r="UQE67" s="5"/>
      <c r="UQF67" s="5"/>
      <c r="UQG67" s="5"/>
      <c r="UQH67" s="5"/>
      <c r="UQI67" s="5"/>
      <c r="UQJ67" s="5"/>
      <c r="UQK67" s="5"/>
      <c r="UQL67" s="5"/>
      <c r="UQM67" s="5"/>
      <c r="UQN67" s="5"/>
      <c r="UQO67" s="5"/>
      <c r="UQP67" s="5"/>
      <c r="UQQ67" s="5"/>
      <c r="UQR67" s="5"/>
      <c r="UQS67" s="5"/>
      <c r="UQT67" s="5"/>
      <c r="UQU67" s="5"/>
      <c r="UQV67" s="5"/>
      <c r="UQW67" s="5"/>
      <c r="UQX67" s="5"/>
      <c r="UQY67" s="5"/>
      <c r="UQZ67" s="5"/>
      <c r="URA67" s="5"/>
      <c r="URB67" s="5"/>
      <c r="URC67" s="5"/>
      <c r="URD67" s="5"/>
      <c r="URE67" s="5"/>
      <c r="URF67" s="5"/>
      <c r="URG67" s="5"/>
      <c r="URH67" s="5"/>
      <c r="URI67" s="5"/>
      <c r="URJ67" s="5"/>
      <c r="URK67" s="5"/>
      <c r="URL67" s="5"/>
      <c r="URM67" s="5"/>
      <c r="URN67" s="5"/>
      <c r="URO67" s="5"/>
      <c r="URP67" s="5"/>
      <c r="URQ67" s="5"/>
      <c r="URR67" s="5"/>
      <c r="URS67" s="5"/>
      <c r="URT67" s="5"/>
      <c r="URU67" s="5"/>
      <c r="URV67" s="5"/>
      <c r="URW67" s="5"/>
      <c r="URX67" s="5"/>
      <c r="URY67" s="5"/>
      <c r="URZ67" s="5"/>
      <c r="USA67" s="5"/>
      <c r="USB67" s="5"/>
      <c r="USC67" s="5"/>
      <c r="USD67" s="5"/>
      <c r="USE67" s="5"/>
      <c r="USF67" s="5"/>
      <c r="USG67" s="5"/>
      <c r="USH67" s="5"/>
      <c r="USI67" s="5"/>
      <c r="USJ67" s="5"/>
      <c r="USK67" s="5"/>
      <c r="USL67" s="5"/>
      <c r="USM67" s="5"/>
      <c r="USN67" s="5"/>
      <c r="USO67" s="5"/>
      <c r="USP67" s="5"/>
      <c r="USQ67" s="5"/>
      <c r="USR67" s="5"/>
      <c r="USS67" s="5"/>
      <c r="UST67" s="5"/>
      <c r="USU67" s="5"/>
      <c r="USV67" s="5"/>
      <c r="USW67" s="5"/>
      <c r="USX67" s="5"/>
      <c r="USY67" s="5"/>
      <c r="USZ67" s="5"/>
      <c r="UTA67" s="5"/>
      <c r="UTB67" s="5"/>
      <c r="UTC67" s="5"/>
      <c r="UTD67" s="5"/>
      <c r="UTE67" s="5"/>
      <c r="UTF67" s="5"/>
      <c r="UTG67" s="5"/>
      <c r="UTH67" s="5"/>
      <c r="UTI67" s="5"/>
      <c r="UTJ67" s="5"/>
      <c r="UTK67" s="5"/>
      <c r="UTL67" s="5"/>
      <c r="UTM67" s="5"/>
      <c r="UTN67" s="5"/>
      <c r="UTO67" s="5"/>
      <c r="UTP67" s="5"/>
      <c r="UTQ67" s="5"/>
      <c r="UTR67" s="5"/>
      <c r="UTS67" s="5"/>
      <c r="UTT67" s="5"/>
      <c r="UTU67" s="5"/>
      <c r="UTV67" s="5"/>
      <c r="UTW67" s="5"/>
      <c r="UTX67" s="5"/>
      <c r="UTY67" s="5"/>
      <c r="UTZ67" s="5"/>
      <c r="UUA67" s="5"/>
      <c r="UUB67" s="5"/>
      <c r="UUC67" s="5"/>
      <c r="UUD67" s="5"/>
      <c r="UUE67" s="5"/>
      <c r="UUF67" s="5"/>
      <c r="UUG67" s="5"/>
      <c r="UUH67" s="5"/>
      <c r="UUI67" s="5"/>
      <c r="UUJ67" s="5"/>
      <c r="UUK67" s="5"/>
      <c r="UUL67" s="5"/>
      <c r="UUM67" s="5"/>
      <c r="UUN67" s="5"/>
      <c r="UUO67" s="5"/>
      <c r="UUP67" s="5"/>
      <c r="UUQ67" s="5"/>
      <c r="UUR67" s="5"/>
      <c r="UUS67" s="5"/>
      <c r="UUT67" s="5"/>
      <c r="UUU67" s="5"/>
      <c r="UUV67" s="5"/>
      <c r="UUW67" s="5"/>
      <c r="UUX67" s="5"/>
      <c r="UUY67" s="5"/>
      <c r="UUZ67" s="5"/>
      <c r="UVA67" s="5"/>
      <c r="UVB67" s="5"/>
      <c r="UVC67" s="5"/>
      <c r="UVD67" s="5"/>
      <c r="UVE67" s="5"/>
      <c r="UVF67" s="5"/>
      <c r="UVG67" s="5"/>
      <c r="UVH67" s="5"/>
      <c r="UVI67" s="5"/>
      <c r="UVJ67" s="5"/>
      <c r="UVK67" s="5"/>
      <c r="UVL67" s="5"/>
      <c r="UVM67" s="5"/>
      <c r="UVN67" s="5"/>
      <c r="UVO67" s="5"/>
      <c r="UVP67" s="5"/>
      <c r="UVQ67" s="5"/>
      <c r="UVR67" s="5"/>
      <c r="UVS67" s="5"/>
      <c r="UVT67" s="5"/>
      <c r="UVU67" s="5"/>
      <c r="UVV67" s="5"/>
      <c r="UVW67" s="5"/>
      <c r="UVX67" s="5"/>
      <c r="UVY67" s="5"/>
      <c r="UVZ67" s="5"/>
      <c r="UWA67" s="5"/>
      <c r="UWB67" s="5"/>
      <c r="UWC67" s="5"/>
      <c r="UWD67" s="5"/>
      <c r="UWE67" s="5"/>
      <c r="UWF67" s="5"/>
      <c r="UWG67" s="5"/>
      <c r="UWH67" s="5"/>
      <c r="UWI67" s="5"/>
      <c r="UWJ67" s="5"/>
      <c r="UWK67" s="5"/>
      <c r="UWL67" s="5"/>
      <c r="UWM67" s="5"/>
      <c r="UWN67" s="5"/>
      <c r="UWO67" s="5"/>
      <c r="UWP67" s="5"/>
      <c r="UWQ67" s="5"/>
      <c r="UWR67" s="5"/>
      <c r="UWS67" s="5"/>
      <c r="UWT67" s="5"/>
      <c r="UWU67" s="5"/>
      <c r="UWV67" s="5"/>
      <c r="UWW67" s="5"/>
      <c r="UWX67" s="5"/>
      <c r="UWY67" s="5"/>
      <c r="UWZ67" s="5"/>
      <c r="UXA67" s="5"/>
      <c r="UXB67" s="5"/>
      <c r="UXC67" s="5"/>
      <c r="UXD67" s="5"/>
      <c r="UXE67" s="5"/>
      <c r="UXF67" s="5"/>
      <c r="UXG67" s="5"/>
      <c r="UXH67" s="5"/>
      <c r="UXI67" s="5"/>
      <c r="UXJ67" s="5"/>
      <c r="UXK67" s="5"/>
      <c r="UXL67" s="5"/>
      <c r="UXM67" s="5"/>
      <c r="UXN67" s="5"/>
      <c r="UXO67" s="5"/>
      <c r="UXP67" s="5"/>
      <c r="UXQ67" s="5"/>
      <c r="UXR67" s="5"/>
      <c r="UXS67" s="5"/>
      <c r="UXT67" s="5"/>
      <c r="UXU67" s="5"/>
      <c r="UXV67" s="5"/>
      <c r="UXW67" s="5"/>
      <c r="UXX67" s="5"/>
      <c r="UXY67" s="5"/>
      <c r="UXZ67" s="5"/>
      <c r="UYA67" s="5"/>
      <c r="UYB67" s="5"/>
      <c r="UYC67" s="5"/>
      <c r="UYD67" s="5"/>
      <c r="UYE67" s="5"/>
      <c r="UYF67" s="5"/>
      <c r="UYG67" s="5"/>
      <c r="UYH67" s="5"/>
      <c r="UYI67" s="5"/>
      <c r="UYJ67" s="5"/>
      <c r="UYK67" s="5"/>
      <c r="UYL67" s="5"/>
      <c r="UYM67" s="5"/>
      <c r="UYN67" s="5"/>
      <c r="UYO67" s="5"/>
      <c r="UYP67" s="5"/>
      <c r="UYQ67" s="5"/>
      <c r="UYR67" s="5"/>
      <c r="UYS67" s="5"/>
      <c r="UYT67" s="5"/>
      <c r="UYU67" s="5"/>
      <c r="UYV67" s="5"/>
      <c r="UYW67" s="5"/>
      <c r="UYX67" s="5"/>
      <c r="UYY67" s="5"/>
      <c r="UYZ67" s="5"/>
      <c r="UZA67" s="5"/>
      <c r="UZB67" s="5"/>
      <c r="UZC67" s="5"/>
      <c r="UZD67" s="5"/>
      <c r="UZE67" s="5"/>
      <c r="UZF67" s="5"/>
      <c r="UZG67" s="5"/>
      <c r="UZH67" s="5"/>
      <c r="UZI67" s="5"/>
      <c r="UZJ67" s="5"/>
      <c r="UZK67" s="5"/>
      <c r="UZL67" s="5"/>
      <c r="UZM67" s="5"/>
      <c r="UZN67" s="5"/>
      <c r="UZO67" s="5"/>
      <c r="UZP67" s="5"/>
      <c r="UZQ67" s="5"/>
      <c r="UZR67" s="5"/>
      <c r="UZS67" s="5"/>
      <c r="UZT67" s="5"/>
      <c r="UZU67" s="5"/>
      <c r="UZV67" s="5"/>
      <c r="UZW67" s="5"/>
      <c r="UZX67" s="5"/>
      <c r="UZY67" s="5"/>
      <c r="UZZ67" s="5"/>
      <c r="VAA67" s="5"/>
      <c r="VAB67" s="5"/>
      <c r="VAC67" s="5"/>
      <c r="VAD67" s="5"/>
      <c r="VAE67" s="5"/>
      <c r="VAF67" s="5"/>
      <c r="VAG67" s="5"/>
      <c r="VAH67" s="5"/>
      <c r="VAI67" s="5"/>
      <c r="VAJ67" s="5"/>
      <c r="VAK67" s="5"/>
      <c r="VAL67" s="5"/>
      <c r="VAM67" s="5"/>
      <c r="VAN67" s="5"/>
      <c r="VAO67" s="5"/>
      <c r="VAP67" s="5"/>
      <c r="VAQ67" s="5"/>
      <c r="VAR67" s="5"/>
      <c r="VAS67" s="5"/>
      <c r="VAT67" s="5"/>
      <c r="VAU67" s="5"/>
      <c r="VAV67" s="5"/>
      <c r="VAW67" s="5"/>
      <c r="VAX67" s="5"/>
      <c r="VAY67" s="5"/>
      <c r="VAZ67" s="5"/>
      <c r="VBA67" s="5"/>
      <c r="VBB67" s="5"/>
      <c r="VBC67" s="5"/>
      <c r="VBD67" s="5"/>
      <c r="VBE67" s="5"/>
      <c r="VBF67" s="5"/>
      <c r="VBG67" s="5"/>
      <c r="VBH67" s="5"/>
      <c r="VBI67" s="5"/>
      <c r="VBJ67" s="5"/>
      <c r="VBK67" s="5"/>
      <c r="VBL67" s="5"/>
      <c r="VBM67" s="5"/>
      <c r="VBN67" s="5"/>
      <c r="VBO67" s="5"/>
      <c r="VBP67" s="5"/>
      <c r="VBQ67" s="5"/>
      <c r="VBR67" s="5"/>
      <c r="VBS67" s="5"/>
      <c r="VBT67" s="5"/>
      <c r="VBU67" s="5"/>
      <c r="VBV67" s="5"/>
      <c r="VBW67" s="5"/>
      <c r="VBX67" s="5"/>
      <c r="VBY67" s="5"/>
      <c r="VBZ67" s="5"/>
      <c r="VCA67" s="5"/>
      <c r="VCB67" s="5"/>
      <c r="VCC67" s="5"/>
      <c r="VCD67" s="5"/>
      <c r="VCE67" s="5"/>
      <c r="VCF67" s="5"/>
      <c r="VCG67" s="5"/>
      <c r="VCH67" s="5"/>
      <c r="VCI67" s="5"/>
      <c r="VCJ67" s="5"/>
      <c r="VCK67" s="5"/>
      <c r="VCL67" s="5"/>
      <c r="VCM67" s="5"/>
      <c r="VCN67" s="5"/>
      <c r="VCO67" s="5"/>
      <c r="VCP67" s="5"/>
      <c r="VCQ67" s="5"/>
      <c r="VCR67" s="5"/>
      <c r="VCS67" s="5"/>
      <c r="VCT67" s="5"/>
      <c r="VCU67" s="5"/>
      <c r="VCV67" s="5"/>
      <c r="VCW67" s="5"/>
      <c r="VCX67" s="5"/>
      <c r="VCY67" s="5"/>
      <c r="VCZ67" s="5"/>
      <c r="VDA67" s="5"/>
      <c r="VDB67" s="5"/>
      <c r="VDC67" s="5"/>
      <c r="VDD67" s="5"/>
      <c r="VDE67" s="5"/>
      <c r="VDF67" s="5"/>
      <c r="VDG67" s="5"/>
      <c r="VDH67" s="5"/>
      <c r="VDI67" s="5"/>
      <c r="VDJ67" s="5"/>
      <c r="VDK67" s="5"/>
      <c r="VDL67" s="5"/>
      <c r="VDM67" s="5"/>
      <c r="VDN67" s="5"/>
      <c r="VDO67" s="5"/>
      <c r="VDP67" s="5"/>
      <c r="VDQ67" s="5"/>
      <c r="VDR67" s="5"/>
      <c r="VDS67" s="5"/>
      <c r="VDT67" s="5"/>
      <c r="VDU67" s="5"/>
      <c r="VDV67" s="5"/>
      <c r="VDW67" s="5"/>
      <c r="VDX67" s="5"/>
      <c r="VDY67" s="5"/>
      <c r="VDZ67" s="5"/>
      <c r="VEA67" s="5"/>
      <c r="VEB67" s="5"/>
      <c r="VEC67" s="5"/>
      <c r="VED67" s="5"/>
      <c r="VEE67" s="5"/>
      <c r="VEF67" s="5"/>
      <c r="VEG67" s="5"/>
      <c r="VEH67" s="5"/>
      <c r="VEI67" s="5"/>
      <c r="VEJ67" s="5"/>
      <c r="VEK67" s="5"/>
      <c r="VEL67" s="5"/>
      <c r="VEM67" s="5"/>
      <c r="VEN67" s="5"/>
      <c r="VEO67" s="5"/>
      <c r="VEP67" s="5"/>
      <c r="VEQ67" s="5"/>
      <c r="VER67" s="5"/>
      <c r="VES67" s="5"/>
      <c r="VET67" s="5"/>
      <c r="VEU67" s="5"/>
      <c r="VEV67" s="5"/>
      <c r="VEW67" s="5"/>
      <c r="VEX67" s="5"/>
      <c r="VEY67" s="5"/>
      <c r="VEZ67" s="5"/>
      <c r="VFA67" s="5"/>
      <c r="VFB67" s="5"/>
      <c r="VFC67" s="5"/>
      <c r="VFD67" s="5"/>
      <c r="VFE67" s="5"/>
      <c r="VFF67" s="5"/>
      <c r="VFG67" s="5"/>
      <c r="VFH67" s="5"/>
      <c r="VFI67" s="5"/>
      <c r="VFJ67" s="5"/>
      <c r="VFK67" s="5"/>
      <c r="VFL67" s="5"/>
      <c r="VFM67" s="5"/>
      <c r="VFN67" s="5"/>
      <c r="VFO67" s="5"/>
      <c r="VFP67" s="5"/>
      <c r="VFQ67" s="5"/>
      <c r="VFR67" s="5"/>
      <c r="VFS67" s="5"/>
      <c r="VFT67" s="5"/>
      <c r="VFU67" s="5"/>
      <c r="VFV67" s="5"/>
      <c r="VFW67" s="5"/>
      <c r="VFX67" s="5"/>
      <c r="VFY67" s="5"/>
      <c r="VFZ67" s="5"/>
      <c r="VGA67" s="5"/>
      <c r="VGB67" s="5"/>
      <c r="VGC67" s="5"/>
      <c r="VGD67" s="5"/>
      <c r="VGE67" s="5"/>
      <c r="VGF67" s="5"/>
      <c r="VGG67" s="5"/>
      <c r="VGH67" s="5"/>
      <c r="VGI67" s="5"/>
      <c r="VGJ67" s="5"/>
      <c r="VGK67" s="5"/>
      <c r="VGL67" s="5"/>
      <c r="VGM67" s="5"/>
      <c r="VGN67" s="5"/>
      <c r="VGO67" s="5"/>
      <c r="VGP67" s="5"/>
      <c r="VGQ67" s="5"/>
      <c r="VGR67" s="5"/>
      <c r="VGS67" s="5"/>
      <c r="VGT67" s="5"/>
      <c r="VGU67" s="5"/>
      <c r="VGV67" s="5"/>
      <c r="VGW67" s="5"/>
      <c r="VGX67" s="5"/>
      <c r="VGY67" s="5"/>
      <c r="VGZ67" s="5"/>
      <c r="VHA67" s="5"/>
      <c r="VHB67" s="5"/>
      <c r="VHC67" s="5"/>
      <c r="VHD67" s="5"/>
      <c r="VHE67" s="5"/>
      <c r="VHF67" s="5"/>
      <c r="VHG67" s="5"/>
      <c r="VHH67" s="5"/>
      <c r="VHI67" s="5"/>
      <c r="VHJ67" s="5"/>
      <c r="VHK67" s="5"/>
      <c r="VHL67" s="5"/>
      <c r="VHM67" s="5"/>
      <c r="VHN67" s="5"/>
      <c r="VHO67" s="5"/>
      <c r="VHP67" s="5"/>
      <c r="VHQ67" s="5"/>
      <c r="VHR67" s="5"/>
      <c r="VHS67" s="5"/>
      <c r="VHT67" s="5"/>
      <c r="VHU67" s="5"/>
      <c r="VHV67" s="5"/>
      <c r="VHW67" s="5"/>
      <c r="VHX67" s="5"/>
      <c r="VHY67" s="5"/>
      <c r="VHZ67" s="5"/>
      <c r="VIA67" s="5"/>
      <c r="VIB67" s="5"/>
      <c r="VIC67" s="5"/>
      <c r="VID67" s="5"/>
      <c r="VIE67" s="5"/>
      <c r="VIF67" s="5"/>
      <c r="VIG67" s="5"/>
      <c r="VIH67" s="5"/>
      <c r="VII67" s="5"/>
      <c r="VIJ67" s="5"/>
      <c r="VIK67" s="5"/>
      <c r="VIL67" s="5"/>
      <c r="VIM67" s="5"/>
      <c r="VIN67" s="5"/>
      <c r="VIO67" s="5"/>
      <c r="VIP67" s="5"/>
      <c r="VIQ67" s="5"/>
      <c r="VIR67" s="5"/>
      <c r="VIS67" s="5"/>
      <c r="VIT67" s="5"/>
      <c r="VIU67" s="5"/>
      <c r="VIV67" s="5"/>
      <c r="VIW67" s="5"/>
      <c r="VIX67" s="5"/>
      <c r="VIY67" s="5"/>
      <c r="VIZ67" s="5"/>
      <c r="VJA67" s="5"/>
      <c r="VJB67" s="5"/>
      <c r="VJC67" s="5"/>
      <c r="VJD67" s="5"/>
      <c r="VJE67" s="5"/>
      <c r="VJF67" s="5"/>
      <c r="VJG67" s="5"/>
      <c r="VJH67" s="5"/>
      <c r="VJI67" s="5"/>
      <c r="VJJ67" s="5"/>
      <c r="VJK67" s="5"/>
      <c r="VJL67" s="5"/>
      <c r="VJM67" s="5"/>
      <c r="VJN67" s="5"/>
      <c r="VJO67" s="5"/>
      <c r="VJP67" s="5"/>
      <c r="VJQ67" s="5"/>
      <c r="VJR67" s="5"/>
      <c r="VJS67" s="5"/>
      <c r="VJT67" s="5"/>
      <c r="VJU67" s="5"/>
      <c r="VJV67" s="5"/>
      <c r="VJW67" s="5"/>
      <c r="VJX67" s="5"/>
      <c r="VJY67" s="5"/>
      <c r="VJZ67" s="5"/>
      <c r="VKA67" s="5"/>
      <c r="VKB67" s="5"/>
      <c r="VKC67" s="5"/>
      <c r="VKD67" s="5"/>
      <c r="VKE67" s="5"/>
      <c r="VKF67" s="5"/>
      <c r="VKG67" s="5"/>
      <c r="VKH67" s="5"/>
      <c r="VKI67" s="5"/>
      <c r="VKJ67" s="5"/>
      <c r="VKK67" s="5"/>
      <c r="VKL67" s="5"/>
      <c r="VKM67" s="5"/>
      <c r="VKN67" s="5"/>
      <c r="VKO67" s="5"/>
      <c r="VKP67" s="5"/>
      <c r="VKQ67" s="5"/>
      <c r="VKR67" s="5"/>
      <c r="VKS67" s="5"/>
      <c r="VKT67" s="5"/>
      <c r="VKU67" s="5"/>
      <c r="VKV67" s="5"/>
      <c r="VKW67" s="5"/>
      <c r="VKX67" s="5"/>
      <c r="VKY67" s="5"/>
      <c r="VKZ67" s="5"/>
      <c r="VLA67" s="5"/>
      <c r="VLB67" s="5"/>
      <c r="VLC67" s="5"/>
      <c r="VLD67" s="5"/>
      <c r="VLE67" s="5"/>
      <c r="VLF67" s="5"/>
      <c r="VLG67" s="5"/>
      <c r="VLH67" s="5"/>
      <c r="VLI67" s="5"/>
      <c r="VLJ67" s="5"/>
      <c r="VLK67" s="5"/>
      <c r="VLL67" s="5"/>
      <c r="VLM67" s="5"/>
      <c r="VLN67" s="5"/>
      <c r="VLO67" s="5"/>
      <c r="VLP67" s="5"/>
      <c r="VLQ67" s="5"/>
      <c r="VLR67" s="5"/>
      <c r="VLS67" s="5"/>
      <c r="VLT67" s="5"/>
      <c r="VLU67" s="5"/>
      <c r="VLV67" s="5"/>
      <c r="VLW67" s="5"/>
      <c r="VLX67" s="5"/>
      <c r="VLY67" s="5"/>
      <c r="VLZ67" s="5"/>
      <c r="VMA67" s="5"/>
      <c r="VMB67" s="5"/>
      <c r="VMC67" s="5"/>
      <c r="VMD67" s="5"/>
      <c r="VME67" s="5"/>
      <c r="VMF67" s="5"/>
      <c r="VMG67" s="5"/>
      <c r="VMH67" s="5"/>
      <c r="VMI67" s="5"/>
      <c r="VMJ67" s="5"/>
      <c r="VMK67" s="5"/>
      <c r="VML67" s="5"/>
      <c r="VMM67" s="5"/>
      <c r="VMN67" s="5"/>
      <c r="VMO67" s="5"/>
      <c r="VMP67" s="5"/>
      <c r="VMQ67" s="5"/>
      <c r="VMR67" s="5"/>
      <c r="VMS67" s="5"/>
      <c r="VMT67" s="5"/>
      <c r="VMU67" s="5"/>
      <c r="VMV67" s="5"/>
      <c r="VMW67" s="5"/>
      <c r="VMX67" s="5"/>
      <c r="VMY67" s="5"/>
      <c r="VMZ67" s="5"/>
      <c r="VNA67" s="5"/>
      <c r="VNB67" s="5"/>
      <c r="VNC67" s="5"/>
      <c r="VND67" s="5"/>
      <c r="VNE67" s="5"/>
      <c r="VNF67" s="5"/>
      <c r="VNG67" s="5"/>
      <c r="VNH67" s="5"/>
      <c r="VNI67" s="5"/>
      <c r="VNJ67" s="5"/>
      <c r="VNK67" s="5"/>
      <c r="VNL67" s="5"/>
      <c r="VNM67" s="5"/>
      <c r="VNN67" s="5"/>
      <c r="VNO67" s="5"/>
      <c r="VNP67" s="5"/>
      <c r="VNQ67" s="5"/>
      <c r="VNR67" s="5"/>
      <c r="VNS67" s="5"/>
      <c r="VNT67" s="5"/>
      <c r="VNU67" s="5"/>
      <c r="VNV67" s="5"/>
      <c r="VNW67" s="5"/>
      <c r="VNX67" s="5"/>
      <c r="VNY67" s="5"/>
      <c r="VNZ67" s="5"/>
      <c r="VOA67" s="5"/>
      <c r="VOB67" s="5"/>
      <c r="VOC67" s="5"/>
      <c r="VOD67" s="5"/>
      <c r="VOE67" s="5"/>
      <c r="VOF67" s="5"/>
      <c r="VOG67" s="5"/>
      <c r="VOH67" s="5"/>
      <c r="VOI67" s="5"/>
      <c r="VOJ67" s="5"/>
      <c r="VOK67" s="5"/>
      <c r="VOL67" s="5"/>
      <c r="VOM67" s="5"/>
      <c r="VON67" s="5"/>
      <c r="VOO67" s="5"/>
      <c r="VOP67" s="5"/>
      <c r="VOQ67" s="5"/>
      <c r="VOR67" s="5"/>
      <c r="VOS67" s="5"/>
      <c r="VOT67" s="5"/>
      <c r="VOU67" s="5"/>
      <c r="VOV67" s="5"/>
      <c r="VOW67" s="5"/>
      <c r="VOX67" s="5"/>
      <c r="VOY67" s="5"/>
      <c r="VOZ67" s="5"/>
      <c r="VPA67" s="5"/>
      <c r="VPB67" s="5"/>
      <c r="VPC67" s="5"/>
      <c r="VPD67" s="5"/>
      <c r="VPE67" s="5"/>
      <c r="VPF67" s="5"/>
      <c r="VPG67" s="5"/>
      <c r="VPH67" s="5"/>
      <c r="VPI67" s="5"/>
      <c r="VPJ67" s="5"/>
      <c r="VPK67" s="5"/>
      <c r="VPL67" s="5"/>
      <c r="VPM67" s="5"/>
      <c r="VPN67" s="5"/>
      <c r="VPO67" s="5"/>
      <c r="VPP67" s="5"/>
      <c r="VPQ67" s="5"/>
      <c r="VPR67" s="5"/>
      <c r="VPS67" s="5"/>
      <c r="VPT67" s="5"/>
      <c r="VPU67" s="5"/>
      <c r="VPV67" s="5"/>
      <c r="VPW67" s="5"/>
      <c r="VPX67" s="5"/>
      <c r="VPY67" s="5"/>
      <c r="VPZ67" s="5"/>
      <c r="VQA67" s="5"/>
      <c r="VQB67" s="5"/>
      <c r="VQC67" s="5"/>
      <c r="VQD67" s="5"/>
      <c r="VQE67" s="5"/>
      <c r="VQF67" s="5"/>
      <c r="VQG67" s="5"/>
      <c r="VQH67" s="5"/>
      <c r="VQI67" s="5"/>
      <c r="VQJ67" s="5"/>
      <c r="VQK67" s="5"/>
      <c r="VQL67" s="5"/>
      <c r="VQM67" s="5"/>
      <c r="VQN67" s="5"/>
      <c r="VQO67" s="5"/>
      <c r="VQP67" s="5"/>
      <c r="VQQ67" s="5"/>
      <c r="VQR67" s="5"/>
      <c r="VQS67" s="5"/>
      <c r="VQT67" s="5"/>
      <c r="VQU67" s="5"/>
      <c r="VQV67" s="5"/>
      <c r="VQW67" s="5"/>
      <c r="VQX67" s="5"/>
      <c r="VQY67" s="5"/>
      <c r="VQZ67" s="5"/>
      <c r="VRA67" s="5"/>
      <c r="VRB67" s="5"/>
      <c r="VRC67" s="5"/>
      <c r="VRD67" s="5"/>
      <c r="VRE67" s="5"/>
      <c r="VRF67" s="5"/>
      <c r="VRG67" s="5"/>
      <c r="VRH67" s="5"/>
      <c r="VRI67" s="5"/>
      <c r="VRJ67" s="5"/>
      <c r="VRK67" s="5"/>
      <c r="VRL67" s="5"/>
      <c r="VRM67" s="5"/>
      <c r="VRN67" s="5"/>
      <c r="VRO67" s="5"/>
      <c r="VRP67" s="5"/>
      <c r="VRQ67" s="5"/>
      <c r="VRR67" s="5"/>
      <c r="VRS67" s="5"/>
      <c r="VRT67" s="5"/>
      <c r="VRU67" s="5"/>
      <c r="VRV67" s="5"/>
      <c r="VRW67" s="5"/>
      <c r="VRX67" s="5"/>
      <c r="VRY67" s="5"/>
      <c r="VRZ67" s="5"/>
      <c r="VSA67" s="5"/>
      <c r="VSB67" s="5"/>
      <c r="VSC67" s="5"/>
      <c r="VSD67" s="5"/>
      <c r="VSE67" s="5"/>
      <c r="VSF67" s="5"/>
      <c r="VSG67" s="5"/>
      <c r="VSH67" s="5"/>
      <c r="VSI67" s="5"/>
      <c r="VSJ67" s="5"/>
      <c r="VSK67" s="5"/>
      <c r="VSL67" s="5"/>
      <c r="VSM67" s="5"/>
      <c r="VSN67" s="5"/>
      <c r="VSO67" s="5"/>
      <c r="VSP67" s="5"/>
      <c r="VSQ67" s="5"/>
      <c r="VSR67" s="5"/>
      <c r="VSS67" s="5"/>
      <c r="VST67" s="5"/>
      <c r="VSU67" s="5"/>
      <c r="VSV67" s="5"/>
      <c r="VSW67" s="5"/>
      <c r="VSX67" s="5"/>
      <c r="VSY67" s="5"/>
      <c r="VSZ67" s="5"/>
      <c r="VTA67" s="5"/>
      <c r="VTB67" s="5"/>
      <c r="VTC67" s="5"/>
      <c r="VTD67" s="5"/>
      <c r="VTE67" s="5"/>
      <c r="VTF67" s="5"/>
      <c r="VTG67" s="5"/>
      <c r="VTH67" s="5"/>
      <c r="VTI67" s="5"/>
      <c r="VTJ67" s="5"/>
      <c r="VTK67" s="5"/>
      <c r="VTL67" s="5"/>
      <c r="VTM67" s="5"/>
      <c r="VTN67" s="5"/>
      <c r="VTO67" s="5"/>
      <c r="VTP67" s="5"/>
      <c r="VTQ67" s="5"/>
      <c r="VTR67" s="5"/>
      <c r="VTS67" s="5"/>
      <c r="VTT67" s="5"/>
      <c r="VTU67" s="5"/>
      <c r="VTV67" s="5"/>
      <c r="VTW67" s="5"/>
      <c r="VTX67" s="5"/>
      <c r="VTY67" s="5"/>
      <c r="VTZ67" s="5"/>
      <c r="VUA67" s="5"/>
      <c r="VUB67" s="5"/>
      <c r="VUC67" s="5"/>
      <c r="VUD67" s="5"/>
      <c r="VUE67" s="5"/>
      <c r="VUF67" s="5"/>
      <c r="VUG67" s="5"/>
      <c r="VUH67" s="5"/>
      <c r="VUI67" s="5"/>
      <c r="VUJ67" s="5"/>
      <c r="VUK67" s="5"/>
      <c r="VUL67" s="5"/>
      <c r="VUM67" s="5"/>
      <c r="VUN67" s="5"/>
      <c r="VUO67" s="5"/>
      <c r="VUP67" s="5"/>
      <c r="VUQ67" s="5"/>
      <c r="VUR67" s="5"/>
      <c r="VUS67" s="5"/>
      <c r="VUT67" s="5"/>
      <c r="VUU67" s="5"/>
      <c r="VUV67" s="5"/>
      <c r="VUW67" s="5"/>
      <c r="VUX67" s="5"/>
      <c r="VUY67" s="5"/>
      <c r="VUZ67" s="5"/>
      <c r="VVA67" s="5"/>
      <c r="VVB67" s="5"/>
      <c r="VVC67" s="5"/>
      <c r="VVD67" s="5"/>
      <c r="VVE67" s="5"/>
      <c r="VVF67" s="5"/>
      <c r="VVG67" s="5"/>
      <c r="VVH67" s="5"/>
      <c r="VVI67" s="5"/>
      <c r="VVJ67" s="5"/>
      <c r="VVK67" s="5"/>
      <c r="VVL67" s="5"/>
      <c r="VVM67" s="5"/>
      <c r="VVN67" s="5"/>
      <c r="VVO67" s="5"/>
      <c r="VVP67" s="5"/>
      <c r="VVQ67" s="5"/>
      <c r="VVR67" s="5"/>
      <c r="VVS67" s="5"/>
      <c r="VVT67" s="5"/>
      <c r="VVU67" s="5"/>
      <c r="VVV67" s="5"/>
      <c r="VVW67" s="5"/>
      <c r="VVX67" s="5"/>
      <c r="VVY67" s="5"/>
      <c r="VVZ67" s="5"/>
      <c r="VWA67" s="5"/>
      <c r="VWB67" s="5"/>
      <c r="VWC67" s="5"/>
      <c r="VWD67" s="5"/>
      <c r="VWE67" s="5"/>
      <c r="VWF67" s="5"/>
      <c r="VWG67" s="5"/>
      <c r="VWH67" s="5"/>
      <c r="VWI67" s="5"/>
      <c r="VWJ67" s="5"/>
      <c r="VWK67" s="5"/>
      <c r="VWL67" s="5"/>
      <c r="VWM67" s="5"/>
      <c r="VWN67" s="5"/>
      <c r="VWO67" s="5"/>
      <c r="VWP67" s="5"/>
      <c r="VWQ67" s="5"/>
      <c r="VWR67" s="5"/>
      <c r="VWS67" s="5"/>
      <c r="VWT67" s="5"/>
      <c r="VWU67" s="5"/>
      <c r="VWV67" s="5"/>
      <c r="VWW67" s="5"/>
      <c r="VWX67" s="5"/>
      <c r="VWY67" s="5"/>
      <c r="VWZ67" s="5"/>
      <c r="VXA67" s="5"/>
      <c r="VXB67" s="5"/>
      <c r="VXC67" s="5"/>
      <c r="VXD67" s="5"/>
      <c r="VXE67" s="5"/>
      <c r="VXF67" s="5"/>
      <c r="VXG67" s="5"/>
      <c r="VXH67" s="5"/>
      <c r="VXI67" s="5"/>
      <c r="VXJ67" s="5"/>
      <c r="VXK67" s="5"/>
      <c r="VXL67" s="5"/>
      <c r="VXM67" s="5"/>
      <c r="VXN67" s="5"/>
      <c r="VXO67" s="5"/>
      <c r="VXP67" s="5"/>
      <c r="VXQ67" s="5"/>
      <c r="VXR67" s="5"/>
      <c r="VXS67" s="5"/>
      <c r="VXT67" s="5"/>
      <c r="VXU67" s="5"/>
      <c r="VXV67" s="5"/>
      <c r="VXW67" s="5"/>
      <c r="VXX67" s="5"/>
      <c r="VXY67" s="5"/>
      <c r="VXZ67" s="5"/>
      <c r="VYA67" s="5"/>
      <c r="VYB67" s="5"/>
      <c r="VYC67" s="5"/>
      <c r="VYD67" s="5"/>
      <c r="VYE67" s="5"/>
      <c r="VYF67" s="5"/>
      <c r="VYG67" s="5"/>
      <c r="VYH67" s="5"/>
      <c r="VYI67" s="5"/>
      <c r="VYJ67" s="5"/>
      <c r="VYK67" s="5"/>
      <c r="VYL67" s="5"/>
      <c r="VYM67" s="5"/>
      <c r="VYN67" s="5"/>
      <c r="VYO67" s="5"/>
      <c r="VYP67" s="5"/>
      <c r="VYQ67" s="5"/>
      <c r="VYR67" s="5"/>
      <c r="VYS67" s="5"/>
      <c r="VYT67" s="5"/>
      <c r="VYU67" s="5"/>
      <c r="VYV67" s="5"/>
      <c r="VYW67" s="5"/>
      <c r="VYX67" s="5"/>
      <c r="VYY67" s="5"/>
      <c r="VYZ67" s="5"/>
      <c r="VZA67" s="5"/>
      <c r="VZB67" s="5"/>
      <c r="VZC67" s="5"/>
      <c r="VZD67" s="5"/>
      <c r="VZE67" s="5"/>
      <c r="VZF67" s="5"/>
      <c r="VZG67" s="5"/>
      <c r="VZH67" s="5"/>
      <c r="VZI67" s="5"/>
      <c r="VZJ67" s="5"/>
      <c r="VZK67" s="5"/>
      <c r="VZL67" s="5"/>
      <c r="VZM67" s="5"/>
      <c r="VZN67" s="5"/>
      <c r="VZO67" s="5"/>
      <c r="VZP67" s="5"/>
      <c r="VZQ67" s="5"/>
      <c r="VZR67" s="5"/>
      <c r="VZS67" s="5"/>
      <c r="VZT67" s="5"/>
      <c r="VZU67" s="5"/>
      <c r="VZV67" s="5"/>
      <c r="VZW67" s="5"/>
      <c r="VZX67" s="5"/>
      <c r="VZY67" s="5"/>
      <c r="VZZ67" s="5"/>
      <c r="WAA67" s="5"/>
      <c r="WAB67" s="5"/>
      <c r="WAC67" s="5"/>
      <c r="WAD67" s="5"/>
      <c r="WAE67" s="5"/>
      <c r="WAF67" s="5"/>
      <c r="WAG67" s="5"/>
      <c r="WAH67" s="5"/>
      <c r="WAI67" s="5"/>
      <c r="WAJ67" s="5"/>
      <c r="WAK67" s="5"/>
      <c r="WAL67" s="5"/>
      <c r="WAM67" s="5"/>
      <c r="WAN67" s="5"/>
      <c r="WAO67" s="5"/>
      <c r="WAP67" s="5"/>
      <c r="WAQ67" s="5"/>
      <c r="WAR67" s="5"/>
      <c r="WAS67" s="5"/>
      <c r="WAT67" s="5"/>
      <c r="WAU67" s="5"/>
      <c r="WAV67" s="5"/>
      <c r="WAW67" s="5"/>
      <c r="WAX67" s="5"/>
      <c r="WAY67" s="5"/>
      <c r="WAZ67" s="5"/>
      <c r="WBA67" s="5"/>
      <c r="WBB67" s="5"/>
      <c r="WBC67" s="5"/>
      <c r="WBD67" s="5"/>
      <c r="WBE67" s="5"/>
      <c r="WBF67" s="5"/>
      <c r="WBG67" s="5"/>
      <c r="WBH67" s="5"/>
      <c r="WBI67" s="5"/>
      <c r="WBJ67" s="5"/>
      <c r="WBK67" s="5"/>
      <c r="WBL67" s="5"/>
      <c r="WBM67" s="5"/>
      <c r="WBN67" s="5"/>
      <c r="WBO67" s="5"/>
      <c r="WBP67" s="5"/>
      <c r="WBQ67" s="5"/>
      <c r="WBR67" s="5"/>
      <c r="WBS67" s="5"/>
      <c r="WBT67" s="5"/>
      <c r="WBU67" s="5"/>
      <c r="WBV67" s="5"/>
      <c r="WBW67" s="5"/>
      <c r="WBX67" s="5"/>
      <c r="WBY67" s="5"/>
      <c r="WBZ67" s="5"/>
      <c r="WCA67" s="5"/>
      <c r="WCB67" s="5"/>
      <c r="WCC67" s="5"/>
      <c r="WCD67" s="5"/>
      <c r="WCE67" s="5"/>
      <c r="WCF67" s="5"/>
      <c r="WCG67" s="5"/>
      <c r="WCH67" s="5"/>
      <c r="WCI67" s="5"/>
      <c r="WCJ67" s="5"/>
      <c r="WCK67" s="5"/>
      <c r="WCL67" s="5"/>
      <c r="WCM67" s="5"/>
      <c r="WCN67" s="5"/>
      <c r="WCO67" s="5"/>
      <c r="WCP67" s="5"/>
      <c r="WCQ67" s="5"/>
      <c r="WCR67" s="5"/>
      <c r="WCS67" s="5"/>
      <c r="WCT67" s="5"/>
      <c r="WCU67" s="5"/>
      <c r="WCV67" s="5"/>
      <c r="WCW67" s="5"/>
      <c r="WCX67" s="5"/>
      <c r="WCY67" s="5"/>
      <c r="WCZ67" s="5"/>
      <c r="WDA67" s="5"/>
      <c r="WDB67" s="5"/>
      <c r="WDC67" s="5"/>
      <c r="WDD67" s="5"/>
      <c r="WDE67" s="5"/>
      <c r="WDF67" s="5"/>
      <c r="WDG67" s="5"/>
      <c r="WDH67" s="5"/>
      <c r="WDI67" s="5"/>
      <c r="WDJ67" s="5"/>
      <c r="WDK67" s="5"/>
      <c r="WDL67" s="5"/>
      <c r="WDM67" s="5"/>
      <c r="WDN67" s="5"/>
      <c r="WDO67" s="5"/>
      <c r="WDP67" s="5"/>
      <c r="WDQ67" s="5"/>
      <c r="WDR67" s="5"/>
      <c r="WDS67" s="5"/>
      <c r="WDT67" s="5"/>
      <c r="WDU67" s="5"/>
      <c r="WDV67" s="5"/>
      <c r="WDW67" s="5"/>
      <c r="WDX67" s="5"/>
      <c r="WDY67" s="5"/>
      <c r="WDZ67" s="5"/>
      <c r="WEA67" s="5"/>
      <c r="WEB67" s="5"/>
      <c r="WEC67" s="5"/>
      <c r="WED67" s="5"/>
      <c r="WEE67" s="5"/>
      <c r="WEF67" s="5"/>
      <c r="WEG67" s="5"/>
      <c r="WEH67" s="5"/>
      <c r="WEI67" s="5"/>
      <c r="WEJ67" s="5"/>
      <c r="WEK67" s="5"/>
      <c r="WEL67" s="5"/>
      <c r="WEM67" s="5"/>
      <c r="WEN67" s="5"/>
      <c r="WEO67" s="5"/>
      <c r="WEP67" s="5"/>
      <c r="WEQ67" s="5"/>
      <c r="WER67" s="5"/>
      <c r="WES67" s="5"/>
      <c r="WET67" s="5"/>
      <c r="WEU67" s="5"/>
      <c r="WEV67" s="5"/>
      <c r="WEW67" s="5"/>
      <c r="WEX67" s="5"/>
      <c r="WEY67" s="5"/>
      <c r="WEZ67" s="5"/>
      <c r="WFA67" s="5"/>
      <c r="WFB67" s="5"/>
      <c r="WFC67" s="5"/>
      <c r="WFD67" s="5"/>
      <c r="WFE67" s="5"/>
      <c r="WFF67" s="5"/>
      <c r="WFG67" s="5"/>
      <c r="WFH67" s="5"/>
      <c r="WFI67" s="5"/>
      <c r="WFJ67" s="5"/>
      <c r="WFK67" s="5"/>
      <c r="WFL67" s="5"/>
      <c r="WFM67" s="5"/>
      <c r="WFN67" s="5"/>
      <c r="WFO67" s="5"/>
      <c r="WFP67" s="5"/>
      <c r="WFQ67" s="5"/>
      <c r="WFR67" s="5"/>
      <c r="WFS67" s="5"/>
      <c r="WFT67" s="5"/>
      <c r="WFU67" s="5"/>
      <c r="WFV67" s="5"/>
      <c r="WFW67" s="5"/>
      <c r="WFX67" s="5"/>
      <c r="WFY67" s="5"/>
      <c r="WFZ67" s="5"/>
      <c r="WGA67" s="5"/>
      <c r="WGB67" s="5"/>
      <c r="WGC67" s="5"/>
      <c r="WGD67" s="5"/>
      <c r="WGE67" s="5"/>
      <c r="WGF67" s="5"/>
      <c r="WGG67" s="5"/>
      <c r="WGH67" s="5"/>
      <c r="WGI67" s="5"/>
      <c r="WGJ67" s="5"/>
      <c r="WGK67" s="5"/>
      <c r="WGL67" s="5"/>
      <c r="WGM67" s="5"/>
      <c r="WGN67" s="5"/>
      <c r="WGO67" s="5"/>
      <c r="WGP67" s="5"/>
      <c r="WGQ67" s="5"/>
      <c r="WGR67" s="5"/>
      <c r="WGS67" s="5"/>
      <c r="WGT67" s="5"/>
      <c r="WGU67" s="5"/>
      <c r="WGV67" s="5"/>
      <c r="WGW67" s="5"/>
      <c r="WGX67" s="5"/>
      <c r="WGY67" s="5"/>
      <c r="WGZ67" s="5"/>
      <c r="WHA67" s="5"/>
      <c r="WHB67" s="5"/>
      <c r="WHC67" s="5"/>
      <c r="WHD67" s="5"/>
      <c r="WHE67" s="5"/>
      <c r="WHF67" s="5"/>
      <c r="WHG67" s="5"/>
      <c r="WHH67" s="5"/>
      <c r="WHI67" s="5"/>
      <c r="WHJ67" s="5"/>
      <c r="WHK67" s="5"/>
      <c r="WHL67" s="5"/>
      <c r="WHM67" s="5"/>
      <c r="WHN67" s="5"/>
      <c r="WHO67" s="5"/>
      <c r="WHP67" s="5"/>
      <c r="WHQ67" s="5"/>
      <c r="WHR67" s="5"/>
      <c r="WHS67" s="5"/>
      <c r="WHT67" s="5"/>
      <c r="WHU67" s="5"/>
      <c r="WHV67" s="5"/>
      <c r="WHW67" s="5"/>
      <c r="WHX67" s="5"/>
      <c r="WHY67" s="5"/>
      <c r="WHZ67" s="5"/>
      <c r="WIA67" s="5"/>
      <c r="WIB67" s="5"/>
      <c r="WIC67" s="5"/>
      <c r="WID67" s="5"/>
      <c r="WIE67" s="5"/>
      <c r="WIF67" s="5"/>
      <c r="WIG67" s="5"/>
      <c r="WIH67" s="5"/>
      <c r="WII67" s="5"/>
      <c r="WIJ67" s="5"/>
      <c r="WIK67" s="5"/>
      <c r="WIL67" s="5"/>
      <c r="WIM67" s="5"/>
      <c r="WIN67" s="5"/>
      <c r="WIO67" s="5"/>
      <c r="WIP67" s="5"/>
      <c r="WIQ67" s="5"/>
      <c r="WIR67" s="5"/>
      <c r="WIS67" s="5"/>
      <c r="WIT67" s="5"/>
      <c r="WIU67" s="5"/>
      <c r="WIV67" s="5"/>
      <c r="WIW67" s="5"/>
      <c r="WIX67" s="5"/>
      <c r="WIY67" s="5"/>
      <c r="WIZ67" s="5"/>
      <c r="WJA67" s="5"/>
      <c r="WJB67" s="5"/>
      <c r="WJC67" s="5"/>
      <c r="WJD67" s="5"/>
      <c r="WJE67" s="5"/>
      <c r="WJF67" s="5"/>
      <c r="WJG67" s="5"/>
      <c r="WJH67" s="5"/>
      <c r="WJI67" s="5"/>
      <c r="WJJ67" s="5"/>
      <c r="WJK67" s="5"/>
      <c r="WJL67" s="5"/>
      <c r="WJM67" s="5"/>
      <c r="WJN67" s="5"/>
      <c r="WJO67" s="5"/>
      <c r="WJP67" s="5"/>
      <c r="WJQ67" s="5"/>
      <c r="WJR67" s="5"/>
      <c r="WJS67" s="5"/>
      <c r="WJT67" s="5"/>
      <c r="WJU67" s="5"/>
      <c r="WJV67" s="5"/>
      <c r="WJW67" s="5"/>
      <c r="WJX67" s="5"/>
      <c r="WJY67" s="5"/>
      <c r="WJZ67" s="5"/>
      <c r="WKA67" s="5"/>
      <c r="WKB67" s="5"/>
      <c r="WKC67" s="5"/>
      <c r="WKD67" s="5"/>
      <c r="WKE67" s="5"/>
      <c r="WKF67" s="5"/>
      <c r="WKG67" s="5"/>
      <c r="WKH67" s="5"/>
      <c r="WKI67" s="5"/>
      <c r="WKJ67" s="5"/>
      <c r="WKK67" s="5"/>
      <c r="WKL67" s="5"/>
      <c r="WKM67" s="5"/>
      <c r="WKN67" s="5"/>
      <c r="WKO67" s="5"/>
      <c r="WKP67" s="5"/>
      <c r="WKQ67" s="5"/>
      <c r="WKR67" s="5"/>
      <c r="WKS67" s="5"/>
      <c r="WKT67" s="5"/>
      <c r="WKU67" s="5"/>
      <c r="WKV67" s="5"/>
      <c r="WKW67" s="5"/>
      <c r="WKX67" s="5"/>
      <c r="WKY67" s="5"/>
      <c r="WKZ67" s="5"/>
      <c r="WLA67" s="5"/>
      <c r="WLB67" s="5"/>
      <c r="WLC67" s="5"/>
      <c r="WLD67" s="5"/>
      <c r="WLE67" s="5"/>
      <c r="WLF67" s="5"/>
      <c r="WLG67" s="5"/>
      <c r="WLH67" s="5"/>
      <c r="WLI67" s="5"/>
      <c r="WLJ67" s="5"/>
      <c r="WLK67" s="5"/>
      <c r="WLL67" s="5"/>
      <c r="WLM67" s="5"/>
      <c r="WLN67" s="5"/>
      <c r="WLO67" s="5"/>
      <c r="WLP67" s="5"/>
      <c r="WLQ67" s="5"/>
      <c r="WLR67" s="5"/>
      <c r="WLS67" s="5"/>
      <c r="WLT67" s="5"/>
      <c r="WLU67" s="5"/>
      <c r="WLV67" s="5"/>
      <c r="WLW67" s="5"/>
      <c r="WLX67" s="5"/>
      <c r="WLY67" s="5"/>
      <c r="WLZ67" s="5"/>
      <c r="WMA67" s="5"/>
      <c r="WMB67" s="5"/>
      <c r="WMC67" s="5"/>
      <c r="WMD67" s="5"/>
      <c r="WME67" s="5"/>
      <c r="WMF67" s="5"/>
      <c r="WMG67" s="5"/>
      <c r="WMH67" s="5"/>
      <c r="WMI67" s="5"/>
      <c r="WMJ67" s="5"/>
      <c r="WMK67" s="5"/>
      <c r="WML67" s="5"/>
      <c r="WMM67" s="5"/>
      <c r="WMN67" s="5"/>
      <c r="WMO67" s="5"/>
      <c r="WMP67" s="5"/>
      <c r="WMQ67" s="5"/>
      <c r="WMR67" s="5"/>
      <c r="WMS67" s="5"/>
      <c r="WMT67" s="5"/>
      <c r="WMU67" s="5"/>
      <c r="WMV67" s="5"/>
      <c r="WMW67" s="5"/>
      <c r="WMX67" s="5"/>
      <c r="WMY67" s="5"/>
      <c r="WMZ67" s="5"/>
      <c r="WNA67" s="5"/>
      <c r="WNB67" s="5"/>
      <c r="WNC67" s="5"/>
      <c r="WND67" s="5"/>
      <c r="WNE67" s="5"/>
      <c r="WNF67" s="5"/>
      <c r="WNG67" s="5"/>
      <c r="WNH67" s="5"/>
      <c r="WNI67" s="5"/>
      <c r="WNJ67" s="5"/>
      <c r="WNK67" s="5"/>
      <c r="WNL67" s="5"/>
      <c r="WNM67" s="5"/>
      <c r="WNN67" s="5"/>
      <c r="WNO67" s="5"/>
      <c r="WNP67" s="5"/>
      <c r="WNQ67" s="5"/>
      <c r="WNR67" s="5"/>
      <c r="WNS67" s="5"/>
      <c r="WNT67" s="5"/>
      <c r="WNU67" s="5"/>
      <c r="WNV67" s="5"/>
      <c r="WNW67" s="5"/>
      <c r="WNX67" s="5"/>
      <c r="WNY67" s="5"/>
      <c r="WNZ67" s="5"/>
      <c r="WOA67" s="5"/>
      <c r="WOB67" s="5"/>
      <c r="WOC67" s="5"/>
      <c r="WOD67" s="5"/>
      <c r="WOE67" s="5"/>
      <c r="WOF67" s="5"/>
      <c r="WOG67" s="5"/>
      <c r="WOH67" s="5"/>
      <c r="WOI67" s="5"/>
      <c r="WOJ67" s="5"/>
      <c r="WOK67" s="5"/>
      <c r="WOL67" s="5"/>
      <c r="WOM67" s="5"/>
      <c r="WON67" s="5"/>
      <c r="WOO67" s="5"/>
      <c r="WOP67" s="5"/>
      <c r="WOQ67" s="5"/>
      <c r="WOR67" s="5"/>
      <c r="WOS67" s="5"/>
      <c r="WOT67" s="5"/>
      <c r="WOU67" s="5"/>
      <c r="WOV67" s="5"/>
      <c r="WOW67" s="5"/>
      <c r="WOX67" s="5"/>
      <c r="WOY67" s="5"/>
      <c r="WOZ67" s="5"/>
      <c r="WPA67" s="5"/>
      <c r="WPB67" s="5"/>
      <c r="WPC67" s="5"/>
      <c r="WPD67" s="5"/>
      <c r="WPE67" s="5"/>
      <c r="WPF67" s="5"/>
      <c r="WPG67" s="5"/>
      <c r="WPH67" s="5"/>
      <c r="WPI67" s="5"/>
      <c r="WPJ67" s="5"/>
      <c r="WPK67" s="5"/>
      <c r="WPL67" s="5"/>
      <c r="WPM67" s="5"/>
      <c r="WPN67" s="5"/>
      <c r="WPO67" s="5"/>
      <c r="WPP67" s="5"/>
      <c r="WPQ67" s="5"/>
      <c r="WPR67" s="5"/>
      <c r="WPS67" s="5"/>
      <c r="WPT67" s="5"/>
      <c r="WPU67" s="5"/>
      <c r="WPV67" s="5"/>
      <c r="WPW67" s="5"/>
      <c r="WPX67" s="5"/>
      <c r="WPY67" s="5"/>
      <c r="WPZ67" s="5"/>
      <c r="WQA67" s="5"/>
      <c r="WQB67" s="5"/>
      <c r="WQC67" s="5"/>
      <c r="WQD67" s="5"/>
      <c r="WQE67" s="5"/>
      <c r="WQF67" s="5"/>
      <c r="WQG67" s="5"/>
      <c r="WQH67" s="5"/>
      <c r="WQI67" s="5"/>
      <c r="WQJ67" s="5"/>
      <c r="WQK67" s="5"/>
      <c r="WQL67" s="5"/>
      <c r="WQM67" s="5"/>
      <c r="WQN67" s="5"/>
      <c r="WQO67" s="5"/>
      <c r="WQP67" s="5"/>
      <c r="WQQ67" s="5"/>
      <c r="WQR67" s="5"/>
      <c r="WQS67" s="5"/>
      <c r="WQT67" s="5"/>
      <c r="WQU67" s="5"/>
      <c r="WQV67" s="5"/>
      <c r="WQW67" s="5"/>
      <c r="WQX67" s="5"/>
      <c r="WQY67" s="5"/>
      <c r="WQZ67" s="5"/>
      <c r="WRA67" s="5"/>
      <c r="WRB67" s="5"/>
      <c r="WRC67" s="5"/>
      <c r="WRD67" s="5"/>
      <c r="WRE67" s="5"/>
      <c r="WRF67" s="5"/>
      <c r="WRG67" s="5"/>
      <c r="WRH67" s="5"/>
      <c r="WRI67" s="5"/>
      <c r="WRJ67" s="5"/>
      <c r="WRK67" s="5"/>
      <c r="WRL67" s="5"/>
      <c r="WRM67" s="5"/>
      <c r="WRN67" s="5"/>
      <c r="WRO67" s="5"/>
      <c r="WRP67" s="5"/>
      <c r="WRQ67" s="5"/>
      <c r="WRR67" s="5"/>
      <c r="WRS67" s="5"/>
      <c r="WRT67" s="5"/>
      <c r="WRU67" s="5"/>
      <c r="WRV67" s="5"/>
      <c r="WRW67" s="5"/>
      <c r="WRX67" s="5"/>
      <c r="WRY67" s="5"/>
      <c r="WRZ67" s="5"/>
      <c r="WSA67" s="5"/>
      <c r="WSB67" s="5"/>
      <c r="WSC67" s="5"/>
      <c r="WSD67" s="5"/>
      <c r="WSE67" s="5"/>
      <c r="WSF67" s="5"/>
      <c r="WSG67" s="5"/>
      <c r="WSH67" s="5"/>
      <c r="WSI67" s="5"/>
      <c r="WSJ67" s="5"/>
      <c r="WSK67" s="5"/>
      <c r="WSL67" s="5"/>
      <c r="WSM67" s="5"/>
      <c r="WSN67" s="5"/>
      <c r="WSO67" s="5"/>
      <c r="WSP67" s="5"/>
      <c r="WSQ67" s="5"/>
      <c r="WSR67" s="5"/>
      <c r="WSS67" s="5"/>
      <c r="WST67" s="5"/>
      <c r="WSU67" s="5"/>
      <c r="WSV67" s="5"/>
      <c r="WSW67" s="5"/>
      <c r="WSX67" s="5"/>
      <c r="WSY67" s="5"/>
      <c r="WSZ67" s="5"/>
      <c r="WTA67" s="5"/>
      <c r="WTB67" s="5"/>
      <c r="WTC67" s="5"/>
      <c r="WTD67" s="5"/>
      <c r="WTE67" s="5"/>
      <c r="WTF67" s="5"/>
      <c r="WTG67" s="5"/>
      <c r="WTH67" s="5"/>
      <c r="WTI67" s="5"/>
      <c r="WTJ67" s="5"/>
      <c r="WTK67" s="5"/>
      <c r="WTL67" s="5"/>
      <c r="WTM67" s="5"/>
      <c r="WTN67" s="5"/>
      <c r="WTO67" s="5"/>
      <c r="WTP67" s="5"/>
      <c r="WTQ67" s="5"/>
      <c r="WTR67" s="5"/>
      <c r="WTS67" s="5"/>
      <c r="WTT67" s="5"/>
      <c r="WTU67" s="5"/>
      <c r="WTV67" s="5"/>
      <c r="WTW67" s="5"/>
      <c r="WTX67" s="5"/>
      <c r="WTY67" s="5"/>
      <c r="WTZ67" s="5"/>
      <c r="WUA67" s="5"/>
      <c r="WUB67" s="5"/>
      <c r="WUC67" s="5"/>
      <c r="WUD67" s="5"/>
      <c r="WUE67" s="5"/>
      <c r="WUF67" s="5"/>
      <c r="WUG67" s="5"/>
      <c r="WUH67" s="5"/>
      <c r="WUI67" s="5"/>
      <c r="WUJ67" s="5"/>
      <c r="WUK67" s="5"/>
      <c r="WUL67" s="5"/>
      <c r="WUM67" s="5"/>
      <c r="WUN67" s="5"/>
      <c r="WUO67" s="5"/>
      <c r="WUP67" s="5"/>
      <c r="WUQ67" s="5"/>
      <c r="WUR67" s="5"/>
      <c r="WUS67" s="5"/>
      <c r="WUT67" s="5"/>
      <c r="WUU67" s="5"/>
      <c r="WUV67" s="5"/>
      <c r="WUW67" s="5"/>
      <c r="WUX67" s="5"/>
      <c r="WUY67" s="5"/>
      <c r="WUZ67" s="5"/>
      <c r="WVA67" s="5"/>
      <c r="WVB67" s="5"/>
      <c r="WVC67" s="5"/>
      <c r="WVD67" s="5"/>
      <c r="WVE67" s="5"/>
      <c r="WVF67" s="5"/>
      <c r="WVG67" s="5"/>
      <c r="WVH67" s="5"/>
      <c r="WVI67" s="5"/>
      <c r="WVJ67" s="5"/>
      <c r="WVK67" s="5"/>
      <c r="WVL67" s="5"/>
      <c r="WVM67" s="5"/>
      <c r="WVN67" s="5"/>
      <c r="WVO67" s="5"/>
      <c r="WVP67" s="5"/>
      <c r="WVQ67" s="5"/>
      <c r="WVR67" s="5"/>
      <c r="WVS67" s="5"/>
      <c r="WVT67" s="5"/>
      <c r="WVU67" s="5"/>
      <c r="WVV67" s="5"/>
      <c r="WVW67" s="5"/>
      <c r="WVX67" s="5"/>
      <c r="WVY67" s="5"/>
      <c r="WVZ67" s="5"/>
      <c r="WWA67" s="5"/>
      <c r="WWB67" s="5"/>
      <c r="WWC67" s="5"/>
      <c r="WWD67" s="5"/>
      <c r="WWE67" s="5"/>
      <c r="WWF67" s="5"/>
      <c r="WWG67" s="5"/>
      <c r="WWH67" s="5"/>
      <c r="WWI67" s="5"/>
      <c r="WWJ67" s="5"/>
      <c r="WWK67" s="5"/>
      <c r="WWL67" s="5"/>
      <c r="WWM67" s="5"/>
      <c r="WWN67" s="5"/>
      <c r="WWO67" s="5"/>
      <c r="WWP67" s="5"/>
      <c r="WWQ67" s="5"/>
      <c r="WWR67" s="5"/>
      <c r="WWS67" s="5"/>
      <c r="WWT67" s="5"/>
      <c r="WWU67" s="5"/>
      <c r="WWV67" s="5"/>
      <c r="WWW67" s="5"/>
      <c r="WWX67" s="5"/>
      <c r="WWY67" s="5"/>
      <c r="WWZ67" s="5"/>
      <c r="WXA67" s="5"/>
      <c r="WXB67" s="5"/>
      <c r="WXC67" s="5"/>
      <c r="WXD67" s="5"/>
      <c r="WXE67" s="5"/>
      <c r="WXF67" s="5"/>
      <c r="WXG67" s="5"/>
      <c r="WXH67" s="5"/>
      <c r="WXI67" s="5"/>
      <c r="WXJ67" s="5"/>
      <c r="WXK67" s="5"/>
      <c r="WXL67" s="5"/>
      <c r="WXM67" s="5"/>
      <c r="WXN67" s="5"/>
      <c r="WXO67" s="5"/>
      <c r="WXP67" s="5"/>
      <c r="WXQ67" s="5"/>
      <c r="WXR67" s="5"/>
      <c r="WXS67" s="5"/>
      <c r="WXT67" s="5"/>
      <c r="WXU67" s="5"/>
      <c r="WXV67" s="5"/>
      <c r="WXW67" s="5"/>
      <c r="WXX67" s="5"/>
      <c r="WXY67" s="5"/>
      <c r="WXZ67" s="5"/>
      <c r="WYA67" s="5"/>
      <c r="WYB67" s="5"/>
      <c r="WYC67" s="5"/>
      <c r="WYD67" s="5"/>
      <c r="WYE67" s="5"/>
      <c r="WYF67" s="5"/>
      <c r="WYG67" s="5"/>
      <c r="WYH67" s="5"/>
      <c r="WYI67" s="5"/>
      <c r="WYJ67" s="5"/>
      <c r="WYK67" s="5"/>
      <c r="WYL67" s="5"/>
      <c r="WYM67" s="5"/>
      <c r="WYN67" s="5"/>
      <c r="WYO67" s="5"/>
      <c r="WYP67" s="5"/>
      <c r="WYQ67" s="5"/>
      <c r="WYR67" s="5"/>
      <c r="WYS67" s="5"/>
      <c r="WYT67" s="5"/>
      <c r="WYU67" s="5"/>
      <c r="WYV67" s="5"/>
      <c r="WYW67" s="5"/>
      <c r="WYX67" s="5"/>
      <c r="WYY67" s="5"/>
      <c r="WYZ67" s="5"/>
      <c r="WZA67" s="5"/>
      <c r="WZB67" s="5"/>
      <c r="WZC67" s="5"/>
      <c r="WZD67" s="5"/>
      <c r="WZE67" s="5"/>
      <c r="WZF67" s="5"/>
      <c r="WZG67" s="5"/>
      <c r="WZH67" s="5"/>
      <c r="WZI67" s="5"/>
      <c r="WZJ67" s="5"/>
      <c r="WZK67" s="5"/>
      <c r="WZL67" s="5"/>
      <c r="WZM67" s="5"/>
      <c r="WZN67" s="5"/>
      <c r="WZO67" s="5"/>
      <c r="WZP67" s="5"/>
      <c r="WZQ67" s="5"/>
      <c r="WZR67" s="5"/>
      <c r="WZS67" s="5"/>
      <c r="WZT67" s="5"/>
      <c r="WZU67" s="5"/>
      <c r="WZV67" s="5"/>
      <c r="WZW67" s="5"/>
      <c r="WZX67" s="5"/>
      <c r="WZY67" s="5"/>
      <c r="WZZ67" s="5"/>
      <c r="XAA67" s="5"/>
      <c r="XAB67" s="5"/>
      <c r="XAC67" s="5"/>
      <c r="XAD67" s="5"/>
      <c r="XAE67" s="5"/>
      <c r="XAF67" s="5"/>
      <c r="XAG67" s="5"/>
      <c r="XAH67" s="5"/>
      <c r="XAI67" s="5"/>
      <c r="XAJ67" s="5"/>
      <c r="XAK67" s="5"/>
      <c r="XAL67" s="5"/>
      <c r="XAM67" s="5"/>
      <c r="XAN67" s="5"/>
      <c r="XAO67" s="5"/>
      <c r="XAP67" s="5"/>
      <c r="XAQ67" s="5"/>
      <c r="XAR67" s="5"/>
      <c r="XAS67" s="5"/>
      <c r="XAT67" s="5"/>
      <c r="XAU67" s="5"/>
      <c r="XAV67" s="5"/>
      <c r="XAW67" s="5"/>
      <c r="XAX67" s="5"/>
      <c r="XAY67" s="5"/>
      <c r="XAZ67" s="5"/>
      <c r="XBA67" s="5"/>
      <c r="XBB67" s="5"/>
      <c r="XBC67" s="5"/>
      <c r="XBD67" s="5"/>
      <c r="XBE67" s="5"/>
      <c r="XBF67" s="5"/>
      <c r="XBG67" s="5"/>
      <c r="XBH67" s="5"/>
      <c r="XBI67" s="5"/>
      <c r="XBJ67" s="5"/>
      <c r="XBK67" s="5"/>
      <c r="XBL67" s="5"/>
      <c r="XBM67" s="5"/>
      <c r="XBN67" s="5"/>
      <c r="XBO67" s="5"/>
      <c r="XBP67" s="5"/>
      <c r="XBQ67" s="5"/>
      <c r="XBR67" s="5"/>
      <c r="XBS67" s="5"/>
      <c r="XBT67" s="5"/>
      <c r="XBU67" s="5"/>
      <c r="XBV67" s="5"/>
      <c r="XBW67" s="5"/>
      <c r="XBX67" s="5"/>
      <c r="XBY67" s="5"/>
      <c r="XBZ67" s="5"/>
      <c r="XCA67" s="5"/>
      <c r="XCB67" s="5"/>
      <c r="XCC67" s="5"/>
      <c r="XCD67" s="5"/>
      <c r="XCE67" s="5"/>
      <c r="XCF67" s="5"/>
      <c r="XCG67" s="5"/>
      <c r="XCH67" s="5"/>
      <c r="XCI67" s="5"/>
      <c r="XCJ67" s="5"/>
      <c r="XCK67" s="5"/>
      <c r="XCL67" s="5"/>
      <c r="XCM67" s="5"/>
      <c r="XCN67" s="5"/>
      <c r="XCO67" s="5"/>
      <c r="XCP67" s="5"/>
      <c r="XCQ67" s="5"/>
      <c r="XCR67" s="5"/>
      <c r="XCS67" s="5"/>
      <c r="XCT67" s="5"/>
      <c r="XCU67" s="5"/>
      <c r="XCV67" s="5"/>
      <c r="XCW67" s="5"/>
      <c r="XCX67" s="5"/>
      <c r="XCY67" s="5"/>
      <c r="XCZ67" s="5"/>
      <c r="XDA67" s="5"/>
      <c r="XDB67" s="5"/>
      <c r="XDC67" s="5"/>
      <c r="XDD67" s="5"/>
      <c r="XDE67" s="5"/>
      <c r="XDF67" s="5"/>
      <c r="XDG67" s="5"/>
      <c r="XDH67" s="5"/>
      <c r="XDI67" s="5"/>
      <c r="XDJ67" s="5"/>
      <c r="XDK67" s="5"/>
      <c r="XDL67" s="5"/>
      <c r="XDM67" s="5"/>
      <c r="XDN67" s="5"/>
      <c r="XDO67" s="5"/>
      <c r="XDP67" s="5"/>
      <c r="XDQ67" s="5"/>
      <c r="XDR67" s="5"/>
      <c r="XDS67" s="5"/>
      <c r="XDT67" s="5"/>
      <c r="XDU67" s="5"/>
      <c r="XDV67" s="5"/>
      <c r="XDW67" s="5"/>
      <c r="XDX67" s="5"/>
      <c r="XDY67" s="5"/>
      <c r="XDZ67" s="5"/>
      <c r="XEA67" s="5"/>
      <c r="XEB67" s="5"/>
      <c r="XEC67" s="5"/>
    </row>
  </sheetData>
  <mergeCells count="2919">
    <mergeCell ref="BL2:BP2"/>
    <mergeCell ref="BQ2:BU2"/>
    <mergeCell ref="BV2:BZ2"/>
    <mergeCell ref="CA2:CE2"/>
    <mergeCell ref="C3:G3"/>
    <mergeCell ref="H3:L3"/>
    <mergeCell ref="M3:Q3"/>
    <mergeCell ref="R3:V3"/>
    <mergeCell ref="W3:AA3"/>
    <mergeCell ref="AB3:AF3"/>
    <mergeCell ref="AG2:AK2"/>
    <mergeCell ref="AM2:AQ2"/>
    <mergeCell ref="AR2:AV2"/>
    <mergeCell ref="AW2:BA2"/>
    <mergeCell ref="BB2:BF2"/>
    <mergeCell ref="BG2:BK2"/>
    <mergeCell ref="C2:G2"/>
    <mergeCell ref="H2:L2"/>
    <mergeCell ref="M2:Q2"/>
    <mergeCell ref="R2:V2"/>
    <mergeCell ref="W2:AA2"/>
    <mergeCell ref="AB2:AF2"/>
    <mergeCell ref="CO48:DE48"/>
    <mergeCell ref="DF48:DV48"/>
    <mergeCell ref="DW48:EM48"/>
    <mergeCell ref="EN48:FD48"/>
    <mergeCell ref="FE48:FU48"/>
    <mergeCell ref="FV48:GL48"/>
    <mergeCell ref="BL3:BP3"/>
    <mergeCell ref="BQ3:BU3"/>
    <mergeCell ref="BV3:BZ3"/>
    <mergeCell ref="CA3:CE3"/>
    <mergeCell ref="S48:AG48"/>
    <mergeCell ref="AX48:BM48"/>
    <mergeCell ref="BN48:BP48"/>
    <mergeCell ref="BQ48:BU48"/>
    <mergeCell ref="BY48:CN48"/>
    <mergeCell ref="AG3:AK3"/>
    <mergeCell ref="AM3:AQ3"/>
    <mergeCell ref="AR3:AV3"/>
    <mergeCell ref="AW3:BA3"/>
    <mergeCell ref="BB3:BF3"/>
    <mergeCell ref="BG3:BK3"/>
    <mergeCell ref="OI48:OY48"/>
    <mergeCell ref="OZ48:PP48"/>
    <mergeCell ref="PQ48:QG48"/>
    <mergeCell ref="QH48:QX48"/>
    <mergeCell ref="QY48:RO48"/>
    <mergeCell ref="RP48:SF48"/>
    <mergeCell ref="KK48:LA48"/>
    <mergeCell ref="LB48:LR48"/>
    <mergeCell ref="LS48:MI48"/>
    <mergeCell ref="MJ48:MZ48"/>
    <mergeCell ref="NA48:NQ48"/>
    <mergeCell ref="NR48:OH48"/>
    <mergeCell ref="GM48:HC48"/>
    <mergeCell ref="HD48:HT48"/>
    <mergeCell ref="HU48:IK48"/>
    <mergeCell ref="IL48:JB48"/>
    <mergeCell ref="JC48:JS48"/>
    <mergeCell ref="JT48:KJ48"/>
    <mergeCell ref="AAC48:AAS48"/>
    <mergeCell ref="AAT48:ABJ48"/>
    <mergeCell ref="ABK48:ACA48"/>
    <mergeCell ref="ACB48:ACR48"/>
    <mergeCell ref="ACS48:ADI48"/>
    <mergeCell ref="ADJ48:ADZ48"/>
    <mergeCell ref="WE48:WU48"/>
    <mergeCell ref="WV48:XL48"/>
    <mergeCell ref="XM48:YC48"/>
    <mergeCell ref="YD48:YT48"/>
    <mergeCell ref="YU48:ZK48"/>
    <mergeCell ref="ZL48:AAB48"/>
    <mergeCell ref="SG48:SW48"/>
    <mergeCell ref="SX48:TN48"/>
    <mergeCell ref="TO48:UE48"/>
    <mergeCell ref="UF48:UV48"/>
    <mergeCell ref="UW48:VM48"/>
    <mergeCell ref="VN48:WD48"/>
    <mergeCell ref="ALW48:AMM48"/>
    <mergeCell ref="AMN48:AND48"/>
    <mergeCell ref="ANE48:ANU48"/>
    <mergeCell ref="ANV48:AOL48"/>
    <mergeCell ref="AOM48:APC48"/>
    <mergeCell ref="APD48:APT48"/>
    <mergeCell ref="AHY48:AIO48"/>
    <mergeCell ref="AIP48:AJF48"/>
    <mergeCell ref="AJG48:AJW48"/>
    <mergeCell ref="AJX48:AKN48"/>
    <mergeCell ref="AKO48:ALE48"/>
    <mergeCell ref="ALF48:ALV48"/>
    <mergeCell ref="AEA48:AEQ48"/>
    <mergeCell ref="AER48:AFH48"/>
    <mergeCell ref="AFI48:AFY48"/>
    <mergeCell ref="AFZ48:AGP48"/>
    <mergeCell ref="AGQ48:AHG48"/>
    <mergeCell ref="AHH48:AHX48"/>
    <mergeCell ref="AXQ48:AYG48"/>
    <mergeCell ref="AYH48:AYX48"/>
    <mergeCell ref="AYY48:AZO48"/>
    <mergeCell ref="AZP48:BAF48"/>
    <mergeCell ref="BAG48:BAW48"/>
    <mergeCell ref="BAX48:BBN48"/>
    <mergeCell ref="ATS48:AUI48"/>
    <mergeCell ref="AUJ48:AUZ48"/>
    <mergeCell ref="AVA48:AVQ48"/>
    <mergeCell ref="AVR48:AWH48"/>
    <mergeCell ref="AWI48:AWY48"/>
    <mergeCell ref="AWZ48:AXP48"/>
    <mergeCell ref="APU48:AQK48"/>
    <mergeCell ref="AQL48:ARB48"/>
    <mergeCell ref="ARC48:ARS48"/>
    <mergeCell ref="ART48:ASJ48"/>
    <mergeCell ref="ASK48:ATA48"/>
    <mergeCell ref="ATB48:ATR48"/>
    <mergeCell ref="BJK48:BKA48"/>
    <mergeCell ref="BKB48:BKR48"/>
    <mergeCell ref="BKS48:BLI48"/>
    <mergeCell ref="BLJ48:BLZ48"/>
    <mergeCell ref="BMA48:BMQ48"/>
    <mergeCell ref="BMR48:BNH48"/>
    <mergeCell ref="BFM48:BGC48"/>
    <mergeCell ref="BGD48:BGT48"/>
    <mergeCell ref="BGU48:BHK48"/>
    <mergeCell ref="BHL48:BIB48"/>
    <mergeCell ref="BIC48:BIS48"/>
    <mergeCell ref="BIT48:BJJ48"/>
    <mergeCell ref="BBO48:BCE48"/>
    <mergeCell ref="BCF48:BCV48"/>
    <mergeCell ref="BCW48:BDM48"/>
    <mergeCell ref="BDN48:BED48"/>
    <mergeCell ref="BEE48:BEU48"/>
    <mergeCell ref="BEV48:BFL48"/>
    <mergeCell ref="BVE48:BVU48"/>
    <mergeCell ref="BVV48:BWL48"/>
    <mergeCell ref="BWM48:BXC48"/>
    <mergeCell ref="BXD48:BXT48"/>
    <mergeCell ref="BXU48:BYK48"/>
    <mergeCell ref="BYL48:BZB48"/>
    <mergeCell ref="BRG48:BRW48"/>
    <mergeCell ref="BRX48:BSN48"/>
    <mergeCell ref="BSO48:BTE48"/>
    <mergeCell ref="BTF48:BTV48"/>
    <mergeCell ref="BTW48:BUM48"/>
    <mergeCell ref="BUN48:BVD48"/>
    <mergeCell ref="BNI48:BNY48"/>
    <mergeCell ref="BNZ48:BOP48"/>
    <mergeCell ref="BOQ48:BPG48"/>
    <mergeCell ref="BPH48:BPX48"/>
    <mergeCell ref="BPY48:BQO48"/>
    <mergeCell ref="BQP48:BRF48"/>
    <mergeCell ref="CGY48:CHO48"/>
    <mergeCell ref="CHP48:CIF48"/>
    <mergeCell ref="CIG48:CIW48"/>
    <mergeCell ref="CIX48:CJN48"/>
    <mergeCell ref="CJO48:CKE48"/>
    <mergeCell ref="CKF48:CKV48"/>
    <mergeCell ref="CDA48:CDQ48"/>
    <mergeCell ref="CDR48:CEH48"/>
    <mergeCell ref="CEI48:CEY48"/>
    <mergeCell ref="CEZ48:CFP48"/>
    <mergeCell ref="CFQ48:CGG48"/>
    <mergeCell ref="CGH48:CGX48"/>
    <mergeCell ref="BZC48:BZS48"/>
    <mergeCell ref="BZT48:CAJ48"/>
    <mergeCell ref="CAK48:CBA48"/>
    <mergeCell ref="CBB48:CBR48"/>
    <mergeCell ref="CBS48:CCI48"/>
    <mergeCell ref="CCJ48:CCZ48"/>
    <mergeCell ref="CSS48:CTI48"/>
    <mergeCell ref="CTJ48:CTZ48"/>
    <mergeCell ref="CUA48:CUQ48"/>
    <mergeCell ref="CUR48:CVH48"/>
    <mergeCell ref="CVI48:CVY48"/>
    <mergeCell ref="CVZ48:CWP48"/>
    <mergeCell ref="COU48:CPK48"/>
    <mergeCell ref="CPL48:CQB48"/>
    <mergeCell ref="CQC48:CQS48"/>
    <mergeCell ref="CQT48:CRJ48"/>
    <mergeCell ref="CRK48:CSA48"/>
    <mergeCell ref="CSB48:CSR48"/>
    <mergeCell ref="CKW48:CLM48"/>
    <mergeCell ref="CLN48:CMD48"/>
    <mergeCell ref="CME48:CMU48"/>
    <mergeCell ref="CMV48:CNL48"/>
    <mergeCell ref="CNM48:COC48"/>
    <mergeCell ref="COD48:COT48"/>
    <mergeCell ref="DEM48:DFC48"/>
    <mergeCell ref="DFD48:DFT48"/>
    <mergeCell ref="DFU48:DGK48"/>
    <mergeCell ref="DGL48:DHB48"/>
    <mergeCell ref="DHC48:DHS48"/>
    <mergeCell ref="DHT48:DIJ48"/>
    <mergeCell ref="DAO48:DBE48"/>
    <mergeCell ref="DBF48:DBV48"/>
    <mergeCell ref="DBW48:DCM48"/>
    <mergeCell ref="DCN48:DDD48"/>
    <mergeCell ref="DDE48:DDU48"/>
    <mergeCell ref="DDV48:DEL48"/>
    <mergeCell ref="CWQ48:CXG48"/>
    <mergeCell ref="CXH48:CXX48"/>
    <mergeCell ref="CXY48:CYO48"/>
    <mergeCell ref="CYP48:CZF48"/>
    <mergeCell ref="CZG48:CZW48"/>
    <mergeCell ref="CZX48:DAN48"/>
    <mergeCell ref="DQG48:DQW48"/>
    <mergeCell ref="DQX48:DRN48"/>
    <mergeCell ref="DRO48:DSE48"/>
    <mergeCell ref="DSF48:DSV48"/>
    <mergeCell ref="DSW48:DTM48"/>
    <mergeCell ref="DTN48:DUD48"/>
    <mergeCell ref="DMI48:DMY48"/>
    <mergeCell ref="DMZ48:DNP48"/>
    <mergeCell ref="DNQ48:DOG48"/>
    <mergeCell ref="DOH48:DOX48"/>
    <mergeCell ref="DOY48:DPO48"/>
    <mergeCell ref="DPP48:DQF48"/>
    <mergeCell ref="DIK48:DJA48"/>
    <mergeCell ref="DJB48:DJR48"/>
    <mergeCell ref="DJS48:DKI48"/>
    <mergeCell ref="DKJ48:DKZ48"/>
    <mergeCell ref="DLA48:DLQ48"/>
    <mergeCell ref="DLR48:DMH48"/>
    <mergeCell ref="ECA48:ECQ48"/>
    <mergeCell ref="ECR48:EDH48"/>
    <mergeCell ref="EDI48:EDY48"/>
    <mergeCell ref="EDZ48:EEP48"/>
    <mergeCell ref="EEQ48:EFG48"/>
    <mergeCell ref="EFH48:EFX48"/>
    <mergeCell ref="DYC48:DYS48"/>
    <mergeCell ref="DYT48:DZJ48"/>
    <mergeCell ref="DZK48:EAA48"/>
    <mergeCell ref="EAB48:EAR48"/>
    <mergeCell ref="EAS48:EBI48"/>
    <mergeCell ref="EBJ48:EBZ48"/>
    <mergeCell ref="DUE48:DUU48"/>
    <mergeCell ref="DUV48:DVL48"/>
    <mergeCell ref="DVM48:DWC48"/>
    <mergeCell ref="DWD48:DWT48"/>
    <mergeCell ref="DWU48:DXK48"/>
    <mergeCell ref="DXL48:DYB48"/>
    <mergeCell ref="ENU48:EOK48"/>
    <mergeCell ref="EOL48:EPB48"/>
    <mergeCell ref="EPC48:EPS48"/>
    <mergeCell ref="EPT48:EQJ48"/>
    <mergeCell ref="EQK48:ERA48"/>
    <mergeCell ref="ERB48:ERR48"/>
    <mergeCell ref="EJW48:EKM48"/>
    <mergeCell ref="EKN48:ELD48"/>
    <mergeCell ref="ELE48:ELU48"/>
    <mergeCell ref="ELV48:EML48"/>
    <mergeCell ref="EMM48:ENC48"/>
    <mergeCell ref="END48:ENT48"/>
    <mergeCell ref="EFY48:EGO48"/>
    <mergeCell ref="EGP48:EHF48"/>
    <mergeCell ref="EHG48:EHW48"/>
    <mergeCell ref="EHX48:EIN48"/>
    <mergeCell ref="EIO48:EJE48"/>
    <mergeCell ref="EJF48:EJV48"/>
    <mergeCell ref="EZO48:FAE48"/>
    <mergeCell ref="FAF48:FAV48"/>
    <mergeCell ref="FAW48:FBM48"/>
    <mergeCell ref="FBN48:FCD48"/>
    <mergeCell ref="FCE48:FCU48"/>
    <mergeCell ref="FCV48:FDL48"/>
    <mergeCell ref="EVQ48:EWG48"/>
    <mergeCell ref="EWH48:EWX48"/>
    <mergeCell ref="EWY48:EXO48"/>
    <mergeCell ref="EXP48:EYF48"/>
    <mergeCell ref="EYG48:EYW48"/>
    <mergeCell ref="EYX48:EZN48"/>
    <mergeCell ref="ERS48:ESI48"/>
    <mergeCell ref="ESJ48:ESZ48"/>
    <mergeCell ref="ETA48:ETQ48"/>
    <mergeCell ref="ETR48:EUH48"/>
    <mergeCell ref="EUI48:EUY48"/>
    <mergeCell ref="EUZ48:EVP48"/>
    <mergeCell ref="FLI48:FLY48"/>
    <mergeCell ref="FLZ48:FMP48"/>
    <mergeCell ref="FMQ48:FNG48"/>
    <mergeCell ref="FNH48:FNX48"/>
    <mergeCell ref="FNY48:FOO48"/>
    <mergeCell ref="FOP48:FPF48"/>
    <mergeCell ref="FHK48:FIA48"/>
    <mergeCell ref="FIB48:FIR48"/>
    <mergeCell ref="FIS48:FJI48"/>
    <mergeCell ref="FJJ48:FJZ48"/>
    <mergeCell ref="FKA48:FKQ48"/>
    <mergeCell ref="FKR48:FLH48"/>
    <mergeCell ref="FDM48:FEC48"/>
    <mergeCell ref="FED48:FET48"/>
    <mergeCell ref="FEU48:FFK48"/>
    <mergeCell ref="FFL48:FGB48"/>
    <mergeCell ref="FGC48:FGS48"/>
    <mergeCell ref="FGT48:FHJ48"/>
    <mergeCell ref="FXC48:FXS48"/>
    <mergeCell ref="FXT48:FYJ48"/>
    <mergeCell ref="FYK48:FZA48"/>
    <mergeCell ref="FZB48:FZR48"/>
    <mergeCell ref="FZS48:GAI48"/>
    <mergeCell ref="GAJ48:GAZ48"/>
    <mergeCell ref="FTE48:FTU48"/>
    <mergeCell ref="FTV48:FUL48"/>
    <mergeCell ref="FUM48:FVC48"/>
    <mergeCell ref="FVD48:FVT48"/>
    <mergeCell ref="FVU48:FWK48"/>
    <mergeCell ref="FWL48:FXB48"/>
    <mergeCell ref="FPG48:FPW48"/>
    <mergeCell ref="FPX48:FQN48"/>
    <mergeCell ref="FQO48:FRE48"/>
    <mergeCell ref="FRF48:FRV48"/>
    <mergeCell ref="FRW48:FSM48"/>
    <mergeCell ref="FSN48:FTD48"/>
    <mergeCell ref="GIW48:GJM48"/>
    <mergeCell ref="GJN48:GKD48"/>
    <mergeCell ref="GKE48:GKU48"/>
    <mergeCell ref="GKV48:GLL48"/>
    <mergeCell ref="GLM48:GMC48"/>
    <mergeCell ref="GMD48:GMT48"/>
    <mergeCell ref="GEY48:GFO48"/>
    <mergeCell ref="GFP48:GGF48"/>
    <mergeCell ref="GGG48:GGW48"/>
    <mergeCell ref="GGX48:GHN48"/>
    <mergeCell ref="GHO48:GIE48"/>
    <mergeCell ref="GIF48:GIV48"/>
    <mergeCell ref="GBA48:GBQ48"/>
    <mergeCell ref="GBR48:GCH48"/>
    <mergeCell ref="GCI48:GCY48"/>
    <mergeCell ref="GCZ48:GDP48"/>
    <mergeCell ref="GDQ48:GEG48"/>
    <mergeCell ref="GEH48:GEX48"/>
    <mergeCell ref="GUQ48:GVG48"/>
    <mergeCell ref="GVH48:GVX48"/>
    <mergeCell ref="GVY48:GWO48"/>
    <mergeCell ref="GWP48:GXF48"/>
    <mergeCell ref="GXG48:GXW48"/>
    <mergeCell ref="GXX48:GYN48"/>
    <mergeCell ref="GQS48:GRI48"/>
    <mergeCell ref="GRJ48:GRZ48"/>
    <mergeCell ref="GSA48:GSQ48"/>
    <mergeCell ref="GSR48:GTH48"/>
    <mergeCell ref="GTI48:GTY48"/>
    <mergeCell ref="GTZ48:GUP48"/>
    <mergeCell ref="GMU48:GNK48"/>
    <mergeCell ref="GNL48:GOB48"/>
    <mergeCell ref="GOC48:GOS48"/>
    <mergeCell ref="GOT48:GPJ48"/>
    <mergeCell ref="GPK48:GQA48"/>
    <mergeCell ref="GQB48:GQR48"/>
    <mergeCell ref="HGK48:HHA48"/>
    <mergeCell ref="HHB48:HHR48"/>
    <mergeCell ref="HHS48:HII48"/>
    <mergeCell ref="HIJ48:HIZ48"/>
    <mergeCell ref="HJA48:HJQ48"/>
    <mergeCell ref="HJR48:HKH48"/>
    <mergeCell ref="HCM48:HDC48"/>
    <mergeCell ref="HDD48:HDT48"/>
    <mergeCell ref="HDU48:HEK48"/>
    <mergeCell ref="HEL48:HFB48"/>
    <mergeCell ref="HFC48:HFS48"/>
    <mergeCell ref="HFT48:HGJ48"/>
    <mergeCell ref="GYO48:GZE48"/>
    <mergeCell ref="GZF48:GZV48"/>
    <mergeCell ref="GZW48:HAM48"/>
    <mergeCell ref="HAN48:HBD48"/>
    <mergeCell ref="HBE48:HBU48"/>
    <mergeCell ref="HBV48:HCL48"/>
    <mergeCell ref="HSE48:HSU48"/>
    <mergeCell ref="HSV48:HTL48"/>
    <mergeCell ref="HTM48:HUC48"/>
    <mergeCell ref="HUD48:HUT48"/>
    <mergeCell ref="HUU48:HVK48"/>
    <mergeCell ref="HVL48:HWB48"/>
    <mergeCell ref="HOG48:HOW48"/>
    <mergeCell ref="HOX48:HPN48"/>
    <mergeCell ref="HPO48:HQE48"/>
    <mergeCell ref="HQF48:HQV48"/>
    <mergeCell ref="HQW48:HRM48"/>
    <mergeCell ref="HRN48:HSD48"/>
    <mergeCell ref="HKI48:HKY48"/>
    <mergeCell ref="HKZ48:HLP48"/>
    <mergeCell ref="HLQ48:HMG48"/>
    <mergeCell ref="HMH48:HMX48"/>
    <mergeCell ref="HMY48:HNO48"/>
    <mergeCell ref="HNP48:HOF48"/>
    <mergeCell ref="IDY48:IEO48"/>
    <mergeCell ref="IEP48:IFF48"/>
    <mergeCell ref="IFG48:IFW48"/>
    <mergeCell ref="IFX48:IGN48"/>
    <mergeCell ref="IGO48:IHE48"/>
    <mergeCell ref="IHF48:IHV48"/>
    <mergeCell ref="IAA48:IAQ48"/>
    <mergeCell ref="IAR48:IBH48"/>
    <mergeCell ref="IBI48:IBY48"/>
    <mergeCell ref="IBZ48:ICP48"/>
    <mergeCell ref="ICQ48:IDG48"/>
    <mergeCell ref="IDH48:IDX48"/>
    <mergeCell ref="HWC48:HWS48"/>
    <mergeCell ref="HWT48:HXJ48"/>
    <mergeCell ref="HXK48:HYA48"/>
    <mergeCell ref="HYB48:HYR48"/>
    <mergeCell ref="HYS48:HZI48"/>
    <mergeCell ref="HZJ48:HZZ48"/>
    <mergeCell ref="IPS48:IQI48"/>
    <mergeCell ref="IQJ48:IQZ48"/>
    <mergeCell ref="IRA48:IRQ48"/>
    <mergeCell ref="IRR48:ISH48"/>
    <mergeCell ref="ISI48:ISY48"/>
    <mergeCell ref="ISZ48:ITP48"/>
    <mergeCell ref="ILU48:IMK48"/>
    <mergeCell ref="IML48:INB48"/>
    <mergeCell ref="INC48:INS48"/>
    <mergeCell ref="INT48:IOJ48"/>
    <mergeCell ref="IOK48:IPA48"/>
    <mergeCell ref="IPB48:IPR48"/>
    <mergeCell ref="IHW48:IIM48"/>
    <mergeCell ref="IIN48:IJD48"/>
    <mergeCell ref="IJE48:IJU48"/>
    <mergeCell ref="IJV48:IKL48"/>
    <mergeCell ref="IKM48:ILC48"/>
    <mergeCell ref="ILD48:ILT48"/>
    <mergeCell ref="JBM48:JCC48"/>
    <mergeCell ref="JCD48:JCT48"/>
    <mergeCell ref="JCU48:JDK48"/>
    <mergeCell ref="JDL48:JEB48"/>
    <mergeCell ref="JEC48:JES48"/>
    <mergeCell ref="JET48:JFJ48"/>
    <mergeCell ref="IXO48:IYE48"/>
    <mergeCell ref="IYF48:IYV48"/>
    <mergeCell ref="IYW48:IZM48"/>
    <mergeCell ref="IZN48:JAD48"/>
    <mergeCell ref="JAE48:JAU48"/>
    <mergeCell ref="JAV48:JBL48"/>
    <mergeCell ref="ITQ48:IUG48"/>
    <mergeCell ref="IUH48:IUX48"/>
    <mergeCell ref="IUY48:IVO48"/>
    <mergeCell ref="IVP48:IWF48"/>
    <mergeCell ref="IWG48:IWW48"/>
    <mergeCell ref="IWX48:IXN48"/>
    <mergeCell ref="JNG48:JNW48"/>
    <mergeCell ref="JNX48:JON48"/>
    <mergeCell ref="JOO48:JPE48"/>
    <mergeCell ref="JPF48:JPV48"/>
    <mergeCell ref="JPW48:JQM48"/>
    <mergeCell ref="JQN48:JRD48"/>
    <mergeCell ref="JJI48:JJY48"/>
    <mergeCell ref="JJZ48:JKP48"/>
    <mergeCell ref="JKQ48:JLG48"/>
    <mergeCell ref="JLH48:JLX48"/>
    <mergeCell ref="JLY48:JMO48"/>
    <mergeCell ref="JMP48:JNF48"/>
    <mergeCell ref="JFK48:JGA48"/>
    <mergeCell ref="JGB48:JGR48"/>
    <mergeCell ref="JGS48:JHI48"/>
    <mergeCell ref="JHJ48:JHZ48"/>
    <mergeCell ref="JIA48:JIQ48"/>
    <mergeCell ref="JIR48:JJH48"/>
    <mergeCell ref="JZA48:JZQ48"/>
    <mergeCell ref="JZR48:KAH48"/>
    <mergeCell ref="KAI48:KAY48"/>
    <mergeCell ref="KAZ48:KBP48"/>
    <mergeCell ref="KBQ48:KCG48"/>
    <mergeCell ref="KCH48:KCX48"/>
    <mergeCell ref="JVC48:JVS48"/>
    <mergeCell ref="JVT48:JWJ48"/>
    <mergeCell ref="JWK48:JXA48"/>
    <mergeCell ref="JXB48:JXR48"/>
    <mergeCell ref="JXS48:JYI48"/>
    <mergeCell ref="JYJ48:JYZ48"/>
    <mergeCell ref="JRE48:JRU48"/>
    <mergeCell ref="JRV48:JSL48"/>
    <mergeCell ref="JSM48:JTC48"/>
    <mergeCell ref="JTD48:JTT48"/>
    <mergeCell ref="JTU48:JUK48"/>
    <mergeCell ref="JUL48:JVB48"/>
    <mergeCell ref="KKU48:KLK48"/>
    <mergeCell ref="KLL48:KMB48"/>
    <mergeCell ref="KMC48:KMS48"/>
    <mergeCell ref="KMT48:KNJ48"/>
    <mergeCell ref="KNK48:KOA48"/>
    <mergeCell ref="KOB48:KOR48"/>
    <mergeCell ref="KGW48:KHM48"/>
    <mergeCell ref="KHN48:KID48"/>
    <mergeCell ref="KIE48:KIU48"/>
    <mergeCell ref="KIV48:KJL48"/>
    <mergeCell ref="KJM48:KKC48"/>
    <mergeCell ref="KKD48:KKT48"/>
    <mergeCell ref="KCY48:KDO48"/>
    <mergeCell ref="KDP48:KEF48"/>
    <mergeCell ref="KEG48:KEW48"/>
    <mergeCell ref="KEX48:KFN48"/>
    <mergeCell ref="KFO48:KGE48"/>
    <mergeCell ref="KGF48:KGV48"/>
    <mergeCell ref="KWO48:KXE48"/>
    <mergeCell ref="KXF48:KXV48"/>
    <mergeCell ref="KXW48:KYM48"/>
    <mergeCell ref="KYN48:KZD48"/>
    <mergeCell ref="KZE48:KZU48"/>
    <mergeCell ref="KZV48:LAL48"/>
    <mergeCell ref="KSQ48:KTG48"/>
    <mergeCell ref="KTH48:KTX48"/>
    <mergeCell ref="KTY48:KUO48"/>
    <mergeCell ref="KUP48:KVF48"/>
    <mergeCell ref="KVG48:KVW48"/>
    <mergeCell ref="KVX48:KWN48"/>
    <mergeCell ref="KOS48:KPI48"/>
    <mergeCell ref="KPJ48:KPZ48"/>
    <mergeCell ref="KQA48:KQQ48"/>
    <mergeCell ref="KQR48:KRH48"/>
    <mergeCell ref="KRI48:KRY48"/>
    <mergeCell ref="KRZ48:KSP48"/>
    <mergeCell ref="LII48:LIY48"/>
    <mergeCell ref="LIZ48:LJP48"/>
    <mergeCell ref="LJQ48:LKG48"/>
    <mergeCell ref="LKH48:LKX48"/>
    <mergeCell ref="LKY48:LLO48"/>
    <mergeCell ref="LLP48:LMF48"/>
    <mergeCell ref="LEK48:LFA48"/>
    <mergeCell ref="LFB48:LFR48"/>
    <mergeCell ref="LFS48:LGI48"/>
    <mergeCell ref="LGJ48:LGZ48"/>
    <mergeCell ref="LHA48:LHQ48"/>
    <mergeCell ref="LHR48:LIH48"/>
    <mergeCell ref="LAM48:LBC48"/>
    <mergeCell ref="LBD48:LBT48"/>
    <mergeCell ref="LBU48:LCK48"/>
    <mergeCell ref="LCL48:LDB48"/>
    <mergeCell ref="LDC48:LDS48"/>
    <mergeCell ref="LDT48:LEJ48"/>
    <mergeCell ref="LUC48:LUS48"/>
    <mergeCell ref="LUT48:LVJ48"/>
    <mergeCell ref="LVK48:LWA48"/>
    <mergeCell ref="LWB48:LWR48"/>
    <mergeCell ref="LWS48:LXI48"/>
    <mergeCell ref="LXJ48:LXZ48"/>
    <mergeCell ref="LQE48:LQU48"/>
    <mergeCell ref="LQV48:LRL48"/>
    <mergeCell ref="LRM48:LSC48"/>
    <mergeCell ref="LSD48:LST48"/>
    <mergeCell ref="LSU48:LTK48"/>
    <mergeCell ref="LTL48:LUB48"/>
    <mergeCell ref="LMG48:LMW48"/>
    <mergeCell ref="LMX48:LNN48"/>
    <mergeCell ref="LNO48:LOE48"/>
    <mergeCell ref="LOF48:LOV48"/>
    <mergeCell ref="LOW48:LPM48"/>
    <mergeCell ref="LPN48:LQD48"/>
    <mergeCell ref="MFW48:MGM48"/>
    <mergeCell ref="MGN48:MHD48"/>
    <mergeCell ref="MHE48:MHU48"/>
    <mergeCell ref="MHV48:MIL48"/>
    <mergeCell ref="MIM48:MJC48"/>
    <mergeCell ref="MJD48:MJT48"/>
    <mergeCell ref="MBY48:MCO48"/>
    <mergeCell ref="MCP48:MDF48"/>
    <mergeCell ref="MDG48:MDW48"/>
    <mergeCell ref="MDX48:MEN48"/>
    <mergeCell ref="MEO48:MFE48"/>
    <mergeCell ref="MFF48:MFV48"/>
    <mergeCell ref="LYA48:LYQ48"/>
    <mergeCell ref="LYR48:LZH48"/>
    <mergeCell ref="LZI48:LZY48"/>
    <mergeCell ref="LZZ48:MAP48"/>
    <mergeCell ref="MAQ48:MBG48"/>
    <mergeCell ref="MBH48:MBX48"/>
    <mergeCell ref="MRQ48:MSG48"/>
    <mergeCell ref="MSH48:MSX48"/>
    <mergeCell ref="MSY48:MTO48"/>
    <mergeCell ref="MTP48:MUF48"/>
    <mergeCell ref="MUG48:MUW48"/>
    <mergeCell ref="MUX48:MVN48"/>
    <mergeCell ref="MNS48:MOI48"/>
    <mergeCell ref="MOJ48:MOZ48"/>
    <mergeCell ref="MPA48:MPQ48"/>
    <mergeCell ref="MPR48:MQH48"/>
    <mergeCell ref="MQI48:MQY48"/>
    <mergeCell ref="MQZ48:MRP48"/>
    <mergeCell ref="MJU48:MKK48"/>
    <mergeCell ref="MKL48:MLB48"/>
    <mergeCell ref="MLC48:MLS48"/>
    <mergeCell ref="MLT48:MMJ48"/>
    <mergeCell ref="MMK48:MNA48"/>
    <mergeCell ref="MNB48:MNR48"/>
    <mergeCell ref="NDK48:NEA48"/>
    <mergeCell ref="NEB48:NER48"/>
    <mergeCell ref="NES48:NFI48"/>
    <mergeCell ref="NFJ48:NFZ48"/>
    <mergeCell ref="NGA48:NGQ48"/>
    <mergeCell ref="NGR48:NHH48"/>
    <mergeCell ref="MZM48:NAC48"/>
    <mergeCell ref="NAD48:NAT48"/>
    <mergeCell ref="NAU48:NBK48"/>
    <mergeCell ref="NBL48:NCB48"/>
    <mergeCell ref="NCC48:NCS48"/>
    <mergeCell ref="NCT48:NDJ48"/>
    <mergeCell ref="MVO48:MWE48"/>
    <mergeCell ref="MWF48:MWV48"/>
    <mergeCell ref="MWW48:MXM48"/>
    <mergeCell ref="MXN48:MYD48"/>
    <mergeCell ref="MYE48:MYU48"/>
    <mergeCell ref="MYV48:MZL48"/>
    <mergeCell ref="NPE48:NPU48"/>
    <mergeCell ref="NPV48:NQL48"/>
    <mergeCell ref="NQM48:NRC48"/>
    <mergeCell ref="NRD48:NRT48"/>
    <mergeCell ref="NRU48:NSK48"/>
    <mergeCell ref="NSL48:NTB48"/>
    <mergeCell ref="NLG48:NLW48"/>
    <mergeCell ref="NLX48:NMN48"/>
    <mergeCell ref="NMO48:NNE48"/>
    <mergeCell ref="NNF48:NNV48"/>
    <mergeCell ref="NNW48:NOM48"/>
    <mergeCell ref="NON48:NPD48"/>
    <mergeCell ref="NHI48:NHY48"/>
    <mergeCell ref="NHZ48:NIP48"/>
    <mergeCell ref="NIQ48:NJG48"/>
    <mergeCell ref="NJH48:NJX48"/>
    <mergeCell ref="NJY48:NKO48"/>
    <mergeCell ref="NKP48:NLF48"/>
    <mergeCell ref="OAY48:OBO48"/>
    <mergeCell ref="OBP48:OCF48"/>
    <mergeCell ref="OCG48:OCW48"/>
    <mergeCell ref="OCX48:ODN48"/>
    <mergeCell ref="ODO48:OEE48"/>
    <mergeCell ref="OEF48:OEV48"/>
    <mergeCell ref="NXA48:NXQ48"/>
    <mergeCell ref="NXR48:NYH48"/>
    <mergeCell ref="NYI48:NYY48"/>
    <mergeCell ref="NYZ48:NZP48"/>
    <mergeCell ref="NZQ48:OAG48"/>
    <mergeCell ref="OAH48:OAX48"/>
    <mergeCell ref="NTC48:NTS48"/>
    <mergeCell ref="NTT48:NUJ48"/>
    <mergeCell ref="NUK48:NVA48"/>
    <mergeCell ref="NVB48:NVR48"/>
    <mergeCell ref="NVS48:NWI48"/>
    <mergeCell ref="NWJ48:NWZ48"/>
    <mergeCell ref="OMS48:ONI48"/>
    <mergeCell ref="ONJ48:ONZ48"/>
    <mergeCell ref="OOA48:OOQ48"/>
    <mergeCell ref="OOR48:OPH48"/>
    <mergeCell ref="OPI48:OPY48"/>
    <mergeCell ref="OPZ48:OQP48"/>
    <mergeCell ref="OIU48:OJK48"/>
    <mergeCell ref="OJL48:OKB48"/>
    <mergeCell ref="OKC48:OKS48"/>
    <mergeCell ref="OKT48:OLJ48"/>
    <mergeCell ref="OLK48:OMA48"/>
    <mergeCell ref="OMB48:OMR48"/>
    <mergeCell ref="OEW48:OFM48"/>
    <mergeCell ref="OFN48:OGD48"/>
    <mergeCell ref="OGE48:OGU48"/>
    <mergeCell ref="OGV48:OHL48"/>
    <mergeCell ref="OHM48:OIC48"/>
    <mergeCell ref="OID48:OIT48"/>
    <mergeCell ref="OYM48:OZC48"/>
    <mergeCell ref="OZD48:OZT48"/>
    <mergeCell ref="OZU48:PAK48"/>
    <mergeCell ref="PAL48:PBB48"/>
    <mergeCell ref="PBC48:PBS48"/>
    <mergeCell ref="PBT48:PCJ48"/>
    <mergeCell ref="OUO48:OVE48"/>
    <mergeCell ref="OVF48:OVV48"/>
    <mergeCell ref="OVW48:OWM48"/>
    <mergeCell ref="OWN48:OXD48"/>
    <mergeCell ref="OXE48:OXU48"/>
    <mergeCell ref="OXV48:OYL48"/>
    <mergeCell ref="OQQ48:ORG48"/>
    <mergeCell ref="ORH48:ORX48"/>
    <mergeCell ref="ORY48:OSO48"/>
    <mergeCell ref="OSP48:OTF48"/>
    <mergeCell ref="OTG48:OTW48"/>
    <mergeCell ref="OTX48:OUN48"/>
    <mergeCell ref="PKG48:PKW48"/>
    <mergeCell ref="PKX48:PLN48"/>
    <mergeCell ref="PLO48:PME48"/>
    <mergeCell ref="PMF48:PMV48"/>
    <mergeCell ref="PMW48:PNM48"/>
    <mergeCell ref="PNN48:POD48"/>
    <mergeCell ref="PGI48:PGY48"/>
    <mergeCell ref="PGZ48:PHP48"/>
    <mergeCell ref="PHQ48:PIG48"/>
    <mergeCell ref="PIH48:PIX48"/>
    <mergeCell ref="PIY48:PJO48"/>
    <mergeCell ref="PJP48:PKF48"/>
    <mergeCell ref="PCK48:PDA48"/>
    <mergeCell ref="PDB48:PDR48"/>
    <mergeCell ref="PDS48:PEI48"/>
    <mergeCell ref="PEJ48:PEZ48"/>
    <mergeCell ref="PFA48:PFQ48"/>
    <mergeCell ref="PFR48:PGH48"/>
    <mergeCell ref="PWA48:PWQ48"/>
    <mergeCell ref="PWR48:PXH48"/>
    <mergeCell ref="PXI48:PXY48"/>
    <mergeCell ref="PXZ48:PYP48"/>
    <mergeCell ref="PYQ48:PZG48"/>
    <mergeCell ref="PZH48:PZX48"/>
    <mergeCell ref="PSC48:PSS48"/>
    <mergeCell ref="PST48:PTJ48"/>
    <mergeCell ref="PTK48:PUA48"/>
    <mergeCell ref="PUB48:PUR48"/>
    <mergeCell ref="PUS48:PVI48"/>
    <mergeCell ref="PVJ48:PVZ48"/>
    <mergeCell ref="POE48:POU48"/>
    <mergeCell ref="POV48:PPL48"/>
    <mergeCell ref="PPM48:PQC48"/>
    <mergeCell ref="PQD48:PQT48"/>
    <mergeCell ref="PQU48:PRK48"/>
    <mergeCell ref="PRL48:PSB48"/>
    <mergeCell ref="QHU48:QIK48"/>
    <mergeCell ref="QIL48:QJB48"/>
    <mergeCell ref="QJC48:QJS48"/>
    <mergeCell ref="QJT48:QKJ48"/>
    <mergeCell ref="QKK48:QLA48"/>
    <mergeCell ref="QLB48:QLR48"/>
    <mergeCell ref="QDW48:QEM48"/>
    <mergeCell ref="QEN48:QFD48"/>
    <mergeCell ref="QFE48:QFU48"/>
    <mergeCell ref="QFV48:QGL48"/>
    <mergeCell ref="QGM48:QHC48"/>
    <mergeCell ref="QHD48:QHT48"/>
    <mergeCell ref="PZY48:QAO48"/>
    <mergeCell ref="QAP48:QBF48"/>
    <mergeCell ref="QBG48:QBW48"/>
    <mergeCell ref="QBX48:QCN48"/>
    <mergeCell ref="QCO48:QDE48"/>
    <mergeCell ref="QDF48:QDV48"/>
    <mergeCell ref="QTO48:QUE48"/>
    <mergeCell ref="QUF48:QUV48"/>
    <mergeCell ref="QUW48:QVM48"/>
    <mergeCell ref="QVN48:QWD48"/>
    <mergeCell ref="QWE48:QWU48"/>
    <mergeCell ref="QWV48:QXL48"/>
    <mergeCell ref="QPQ48:QQG48"/>
    <mergeCell ref="QQH48:QQX48"/>
    <mergeCell ref="QQY48:QRO48"/>
    <mergeCell ref="QRP48:QSF48"/>
    <mergeCell ref="QSG48:QSW48"/>
    <mergeCell ref="QSX48:QTN48"/>
    <mergeCell ref="QLS48:QMI48"/>
    <mergeCell ref="QMJ48:QMZ48"/>
    <mergeCell ref="QNA48:QNQ48"/>
    <mergeCell ref="QNR48:QOH48"/>
    <mergeCell ref="QOI48:QOY48"/>
    <mergeCell ref="QOZ48:QPP48"/>
    <mergeCell ref="RFI48:RFY48"/>
    <mergeCell ref="RFZ48:RGP48"/>
    <mergeCell ref="RGQ48:RHG48"/>
    <mergeCell ref="RHH48:RHX48"/>
    <mergeCell ref="RHY48:RIO48"/>
    <mergeCell ref="RIP48:RJF48"/>
    <mergeCell ref="RBK48:RCA48"/>
    <mergeCell ref="RCB48:RCR48"/>
    <mergeCell ref="RCS48:RDI48"/>
    <mergeCell ref="RDJ48:RDZ48"/>
    <mergeCell ref="REA48:REQ48"/>
    <mergeCell ref="RER48:RFH48"/>
    <mergeCell ref="QXM48:QYC48"/>
    <mergeCell ref="QYD48:QYT48"/>
    <mergeCell ref="QYU48:QZK48"/>
    <mergeCell ref="QZL48:RAB48"/>
    <mergeCell ref="RAC48:RAS48"/>
    <mergeCell ref="RAT48:RBJ48"/>
    <mergeCell ref="RRC48:RRS48"/>
    <mergeCell ref="RRT48:RSJ48"/>
    <mergeCell ref="RSK48:RTA48"/>
    <mergeCell ref="RTB48:RTR48"/>
    <mergeCell ref="RTS48:RUI48"/>
    <mergeCell ref="RUJ48:RUZ48"/>
    <mergeCell ref="RNE48:RNU48"/>
    <mergeCell ref="RNV48:ROL48"/>
    <mergeCell ref="ROM48:RPC48"/>
    <mergeCell ref="RPD48:RPT48"/>
    <mergeCell ref="RPU48:RQK48"/>
    <mergeCell ref="RQL48:RRB48"/>
    <mergeCell ref="RJG48:RJW48"/>
    <mergeCell ref="RJX48:RKN48"/>
    <mergeCell ref="RKO48:RLE48"/>
    <mergeCell ref="RLF48:RLV48"/>
    <mergeCell ref="RLW48:RMM48"/>
    <mergeCell ref="RMN48:RND48"/>
    <mergeCell ref="SCW48:SDM48"/>
    <mergeCell ref="SDN48:SED48"/>
    <mergeCell ref="SEE48:SEU48"/>
    <mergeCell ref="SEV48:SFL48"/>
    <mergeCell ref="SFM48:SGC48"/>
    <mergeCell ref="SGD48:SGT48"/>
    <mergeCell ref="RYY48:RZO48"/>
    <mergeCell ref="RZP48:SAF48"/>
    <mergeCell ref="SAG48:SAW48"/>
    <mergeCell ref="SAX48:SBN48"/>
    <mergeCell ref="SBO48:SCE48"/>
    <mergeCell ref="SCF48:SCV48"/>
    <mergeCell ref="RVA48:RVQ48"/>
    <mergeCell ref="RVR48:RWH48"/>
    <mergeCell ref="RWI48:RWY48"/>
    <mergeCell ref="RWZ48:RXP48"/>
    <mergeCell ref="RXQ48:RYG48"/>
    <mergeCell ref="RYH48:RYX48"/>
    <mergeCell ref="SOQ48:SPG48"/>
    <mergeCell ref="SPH48:SPX48"/>
    <mergeCell ref="SPY48:SQO48"/>
    <mergeCell ref="SQP48:SRF48"/>
    <mergeCell ref="SRG48:SRW48"/>
    <mergeCell ref="SRX48:SSN48"/>
    <mergeCell ref="SKS48:SLI48"/>
    <mergeCell ref="SLJ48:SLZ48"/>
    <mergeCell ref="SMA48:SMQ48"/>
    <mergeCell ref="SMR48:SNH48"/>
    <mergeCell ref="SNI48:SNY48"/>
    <mergeCell ref="SNZ48:SOP48"/>
    <mergeCell ref="SGU48:SHK48"/>
    <mergeCell ref="SHL48:SIB48"/>
    <mergeCell ref="SIC48:SIS48"/>
    <mergeCell ref="SIT48:SJJ48"/>
    <mergeCell ref="SJK48:SKA48"/>
    <mergeCell ref="SKB48:SKR48"/>
    <mergeCell ref="TAK48:TBA48"/>
    <mergeCell ref="TBB48:TBR48"/>
    <mergeCell ref="TBS48:TCI48"/>
    <mergeCell ref="TCJ48:TCZ48"/>
    <mergeCell ref="TDA48:TDQ48"/>
    <mergeCell ref="TDR48:TEH48"/>
    <mergeCell ref="SWM48:SXC48"/>
    <mergeCell ref="SXD48:SXT48"/>
    <mergeCell ref="SXU48:SYK48"/>
    <mergeCell ref="SYL48:SZB48"/>
    <mergeCell ref="SZC48:SZS48"/>
    <mergeCell ref="SZT48:TAJ48"/>
    <mergeCell ref="SSO48:STE48"/>
    <mergeCell ref="STF48:STV48"/>
    <mergeCell ref="STW48:SUM48"/>
    <mergeCell ref="SUN48:SVD48"/>
    <mergeCell ref="SVE48:SVU48"/>
    <mergeCell ref="SVV48:SWL48"/>
    <mergeCell ref="TME48:TMU48"/>
    <mergeCell ref="TMV48:TNL48"/>
    <mergeCell ref="TNM48:TOC48"/>
    <mergeCell ref="TOD48:TOT48"/>
    <mergeCell ref="TOU48:TPK48"/>
    <mergeCell ref="TPL48:TQB48"/>
    <mergeCell ref="TIG48:TIW48"/>
    <mergeCell ref="TIX48:TJN48"/>
    <mergeCell ref="TJO48:TKE48"/>
    <mergeCell ref="TKF48:TKV48"/>
    <mergeCell ref="TKW48:TLM48"/>
    <mergeCell ref="TLN48:TMD48"/>
    <mergeCell ref="TEI48:TEY48"/>
    <mergeCell ref="TEZ48:TFP48"/>
    <mergeCell ref="TFQ48:TGG48"/>
    <mergeCell ref="TGH48:TGX48"/>
    <mergeCell ref="TGY48:THO48"/>
    <mergeCell ref="THP48:TIF48"/>
    <mergeCell ref="TXY48:TYO48"/>
    <mergeCell ref="TYP48:TZF48"/>
    <mergeCell ref="TZG48:TZW48"/>
    <mergeCell ref="TZX48:UAN48"/>
    <mergeCell ref="UAO48:UBE48"/>
    <mergeCell ref="UBF48:UBV48"/>
    <mergeCell ref="TUA48:TUQ48"/>
    <mergeCell ref="TUR48:TVH48"/>
    <mergeCell ref="TVI48:TVY48"/>
    <mergeCell ref="TVZ48:TWP48"/>
    <mergeCell ref="TWQ48:TXG48"/>
    <mergeCell ref="TXH48:TXX48"/>
    <mergeCell ref="TQC48:TQS48"/>
    <mergeCell ref="TQT48:TRJ48"/>
    <mergeCell ref="TRK48:TSA48"/>
    <mergeCell ref="TSB48:TSR48"/>
    <mergeCell ref="TSS48:TTI48"/>
    <mergeCell ref="TTJ48:TTZ48"/>
    <mergeCell ref="UJS48:UKI48"/>
    <mergeCell ref="UKJ48:UKZ48"/>
    <mergeCell ref="ULA48:ULQ48"/>
    <mergeCell ref="ULR48:UMH48"/>
    <mergeCell ref="UMI48:UMY48"/>
    <mergeCell ref="UMZ48:UNP48"/>
    <mergeCell ref="UFU48:UGK48"/>
    <mergeCell ref="UGL48:UHB48"/>
    <mergeCell ref="UHC48:UHS48"/>
    <mergeCell ref="UHT48:UIJ48"/>
    <mergeCell ref="UIK48:UJA48"/>
    <mergeCell ref="UJB48:UJR48"/>
    <mergeCell ref="UBW48:UCM48"/>
    <mergeCell ref="UCN48:UDD48"/>
    <mergeCell ref="UDE48:UDU48"/>
    <mergeCell ref="UDV48:UEL48"/>
    <mergeCell ref="UEM48:UFC48"/>
    <mergeCell ref="UFD48:UFT48"/>
    <mergeCell ref="UVM48:UWC48"/>
    <mergeCell ref="UWD48:UWT48"/>
    <mergeCell ref="UWU48:UXK48"/>
    <mergeCell ref="UXL48:UYB48"/>
    <mergeCell ref="UYC48:UYS48"/>
    <mergeCell ref="UYT48:UZJ48"/>
    <mergeCell ref="URO48:USE48"/>
    <mergeCell ref="USF48:USV48"/>
    <mergeCell ref="USW48:UTM48"/>
    <mergeCell ref="UTN48:UUD48"/>
    <mergeCell ref="UUE48:UUU48"/>
    <mergeCell ref="UUV48:UVL48"/>
    <mergeCell ref="UNQ48:UOG48"/>
    <mergeCell ref="UOH48:UOX48"/>
    <mergeCell ref="UOY48:UPO48"/>
    <mergeCell ref="UPP48:UQF48"/>
    <mergeCell ref="UQG48:UQW48"/>
    <mergeCell ref="UQX48:URN48"/>
    <mergeCell ref="VHG48:VHW48"/>
    <mergeCell ref="VHX48:VIN48"/>
    <mergeCell ref="VIO48:VJE48"/>
    <mergeCell ref="VJF48:VJV48"/>
    <mergeCell ref="VJW48:VKM48"/>
    <mergeCell ref="VKN48:VLD48"/>
    <mergeCell ref="VDI48:VDY48"/>
    <mergeCell ref="VDZ48:VEP48"/>
    <mergeCell ref="VEQ48:VFG48"/>
    <mergeCell ref="VFH48:VFX48"/>
    <mergeCell ref="VFY48:VGO48"/>
    <mergeCell ref="VGP48:VHF48"/>
    <mergeCell ref="UZK48:VAA48"/>
    <mergeCell ref="VAB48:VAR48"/>
    <mergeCell ref="VAS48:VBI48"/>
    <mergeCell ref="VBJ48:VBZ48"/>
    <mergeCell ref="VCA48:VCQ48"/>
    <mergeCell ref="VCR48:VDH48"/>
    <mergeCell ref="VTA48:VTQ48"/>
    <mergeCell ref="VTR48:VUH48"/>
    <mergeCell ref="VUI48:VUY48"/>
    <mergeCell ref="VUZ48:VVP48"/>
    <mergeCell ref="VVQ48:VWG48"/>
    <mergeCell ref="VWH48:VWX48"/>
    <mergeCell ref="VPC48:VPS48"/>
    <mergeCell ref="VPT48:VQJ48"/>
    <mergeCell ref="VQK48:VRA48"/>
    <mergeCell ref="VRB48:VRR48"/>
    <mergeCell ref="VRS48:VSI48"/>
    <mergeCell ref="VSJ48:VSZ48"/>
    <mergeCell ref="VLE48:VLU48"/>
    <mergeCell ref="VLV48:VML48"/>
    <mergeCell ref="VMM48:VNC48"/>
    <mergeCell ref="VND48:VNT48"/>
    <mergeCell ref="VNU48:VOK48"/>
    <mergeCell ref="VOL48:VPB48"/>
    <mergeCell ref="WEU48:WFK48"/>
    <mergeCell ref="WFL48:WGB48"/>
    <mergeCell ref="WGC48:WGS48"/>
    <mergeCell ref="WGT48:WHJ48"/>
    <mergeCell ref="WHK48:WIA48"/>
    <mergeCell ref="WIB48:WIR48"/>
    <mergeCell ref="WAW48:WBM48"/>
    <mergeCell ref="WBN48:WCD48"/>
    <mergeCell ref="WCE48:WCU48"/>
    <mergeCell ref="WCV48:WDL48"/>
    <mergeCell ref="WDM48:WEC48"/>
    <mergeCell ref="WED48:WET48"/>
    <mergeCell ref="VWY48:VXO48"/>
    <mergeCell ref="VXP48:VYF48"/>
    <mergeCell ref="VYG48:VYW48"/>
    <mergeCell ref="VYX48:VZN48"/>
    <mergeCell ref="VZO48:WAE48"/>
    <mergeCell ref="WAF48:WAV48"/>
    <mergeCell ref="WXC48:WXS48"/>
    <mergeCell ref="WXT48:WYJ48"/>
    <mergeCell ref="WQO48:WRE48"/>
    <mergeCell ref="WRF48:WRV48"/>
    <mergeCell ref="WRW48:WSM48"/>
    <mergeCell ref="WSN48:WTD48"/>
    <mergeCell ref="WTE48:WTU48"/>
    <mergeCell ref="WTV48:WUL48"/>
    <mergeCell ref="WMQ48:WNG48"/>
    <mergeCell ref="WNH48:WNX48"/>
    <mergeCell ref="WNY48:WOO48"/>
    <mergeCell ref="WOP48:WPF48"/>
    <mergeCell ref="WPG48:WPW48"/>
    <mergeCell ref="WPX48:WQN48"/>
    <mergeCell ref="WIS48:WJI48"/>
    <mergeCell ref="WJJ48:WJZ48"/>
    <mergeCell ref="WKA48:WKQ48"/>
    <mergeCell ref="WKR48:WLH48"/>
    <mergeCell ref="WLI48:WLY48"/>
    <mergeCell ref="WLZ48:WMP48"/>
    <mergeCell ref="HU49:IK49"/>
    <mergeCell ref="IL49:JB49"/>
    <mergeCell ref="JC49:JS49"/>
    <mergeCell ref="JT49:KJ49"/>
    <mergeCell ref="KK49:LA49"/>
    <mergeCell ref="LB49:LR49"/>
    <mergeCell ref="DW49:EM49"/>
    <mergeCell ref="EN49:FD49"/>
    <mergeCell ref="FE49:FU49"/>
    <mergeCell ref="FV49:GL49"/>
    <mergeCell ref="GM49:HC49"/>
    <mergeCell ref="HD49:HT49"/>
    <mergeCell ref="XCI48:XCY48"/>
    <mergeCell ref="XCZ48:XDP48"/>
    <mergeCell ref="XDQ48:XEC48"/>
    <mergeCell ref="S49:AG49"/>
    <mergeCell ref="AX49:BM49"/>
    <mergeCell ref="BN49:BP49"/>
    <mergeCell ref="BQ49:BU49"/>
    <mergeCell ref="BY49:CN49"/>
    <mergeCell ref="CO49:DE49"/>
    <mergeCell ref="DF49:DV49"/>
    <mergeCell ref="WYK48:WZA48"/>
    <mergeCell ref="WZB48:WZR48"/>
    <mergeCell ref="WZS48:XAI48"/>
    <mergeCell ref="XAJ48:XAZ48"/>
    <mergeCell ref="XBA48:XBQ48"/>
    <mergeCell ref="XBR48:XCH48"/>
    <mergeCell ref="WUM48:WVC48"/>
    <mergeCell ref="WVD48:WVT48"/>
    <mergeCell ref="WVU48:WWK48"/>
    <mergeCell ref="WWL48:WXB48"/>
    <mergeCell ref="TO49:UE49"/>
    <mergeCell ref="UF49:UV49"/>
    <mergeCell ref="UW49:VM49"/>
    <mergeCell ref="VN49:WD49"/>
    <mergeCell ref="WE49:WU49"/>
    <mergeCell ref="WV49:XL49"/>
    <mergeCell ref="PQ49:QG49"/>
    <mergeCell ref="QH49:QX49"/>
    <mergeCell ref="QY49:RO49"/>
    <mergeCell ref="RP49:SF49"/>
    <mergeCell ref="SG49:SW49"/>
    <mergeCell ref="SX49:TN49"/>
    <mergeCell ref="LS49:MI49"/>
    <mergeCell ref="MJ49:MZ49"/>
    <mergeCell ref="NA49:NQ49"/>
    <mergeCell ref="NR49:OH49"/>
    <mergeCell ref="OI49:OY49"/>
    <mergeCell ref="OZ49:PP49"/>
    <mergeCell ref="AFI49:AFY49"/>
    <mergeCell ref="AFZ49:AGP49"/>
    <mergeCell ref="AGQ49:AHG49"/>
    <mergeCell ref="AHH49:AHX49"/>
    <mergeCell ref="AHY49:AIO49"/>
    <mergeCell ref="AIP49:AJF49"/>
    <mergeCell ref="ABK49:ACA49"/>
    <mergeCell ref="ACB49:ACR49"/>
    <mergeCell ref="ACS49:ADI49"/>
    <mergeCell ref="ADJ49:ADZ49"/>
    <mergeCell ref="AEA49:AEQ49"/>
    <mergeCell ref="AER49:AFH49"/>
    <mergeCell ref="XM49:YC49"/>
    <mergeCell ref="YD49:YT49"/>
    <mergeCell ref="YU49:ZK49"/>
    <mergeCell ref="ZL49:AAB49"/>
    <mergeCell ref="AAC49:AAS49"/>
    <mergeCell ref="AAT49:ABJ49"/>
    <mergeCell ref="ARC49:ARS49"/>
    <mergeCell ref="ART49:ASJ49"/>
    <mergeCell ref="ASK49:ATA49"/>
    <mergeCell ref="ATB49:ATR49"/>
    <mergeCell ref="ATS49:AUI49"/>
    <mergeCell ref="AUJ49:AUZ49"/>
    <mergeCell ref="ANE49:ANU49"/>
    <mergeCell ref="ANV49:AOL49"/>
    <mergeCell ref="AOM49:APC49"/>
    <mergeCell ref="APD49:APT49"/>
    <mergeCell ref="APU49:AQK49"/>
    <mergeCell ref="AQL49:ARB49"/>
    <mergeCell ref="AJG49:AJW49"/>
    <mergeCell ref="AJX49:AKN49"/>
    <mergeCell ref="AKO49:ALE49"/>
    <mergeCell ref="ALF49:ALV49"/>
    <mergeCell ref="ALW49:AMM49"/>
    <mergeCell ref="AMN49:AND49"/>
    <mergeCell ref="BCW49:BDM49"/>
    <mergeCell ref="BDN49:BED49"/>
    <mergeCell ref="BEE49:BEU49"/>
    <mergeCell ref="BEV49:BFL49"/>
    <mergeCell ref="BFM49:BGC49"/>
    <mergeCell ref="BGD49:BGT49"/>
    <mergeCell ref="AYY49:AZO49"/>
    <mergeCell ref="AZP49:BAF49"/>
    <mergeCell ref="BAG49:BAW49"/>
    <mergeCell ref="BAX49:BBN49"/>
    <mergeCell ref="BBO49:BCE49"/>
    <mergeCell ref="BCF49:BCV49"/>
    <mergeCell ref="AVA49:AVQ49"/>
    <mergeCell ref="AVR49:AWH49"/>
    <mergeCell ref="AWI49:AWY49"/>
    <mergeCell ref="AWZ49:AXP49"/>
    <mergeCell ref="AXQ49:AYG49"/>
    <mergeCell ref="AYH49:AYX49"/>
    <mergeCell ref="BOQ49:BPG49"/>
    <mergeCell ref="BPH49:BPX49"/>
    <mergeCell ref="BPY49:BQO49"/>
    <mergeCell ref="BQP49:BRF49"/>
    <mergeCell ref="BRG49:BRW49"/>
    <mergeCell ref="BRX49:BSN49"/>
    <mergeCell ref="BKS49:BLI49"/>
    <mergeCell ref="BLJ49:BLZ49"/>
    <mergeCell ref="BMA49:BMQ49"/>
    <mergeCell ref="BMR49:BNH49"/>
    <mergeCell ref="BNI49:BNY49"/>
    <mergeCell ref="BNZ49:BOP49"/>
    <mergeCell ref="BGU49:BHK49"/>
    <mergeCell ref="BHL49:BIB49"/>
    <mergeCell ref="BIC49:BIS49"/>
    <mergeCell ref="BIT49:BJJ49"/>
    <mergeCell ref="BJK49:BKA49"/>
    <mergeCell ref="BKB49:BKR49"/>
    <mergeCell ref="CAK49:CBA49"/>
    <mergeCell ref="CBB49:CBR49"/>
    <mergeCell ref="CBS49:CCI49"/>
    <mergeCell ref="CCJ49:CCZ49"/>
    <mergeCell ref="CDA49:CDQ49"/>
    <mergeCell ref="CDR49:CEH49"/>
    <mergeCell ref="BWM49:BXC49"/>
    <mergeCell ref="BXD49:BXT49"/>
    <mergeCell ref="BXU49:BYK49"/>
    <mergeCell ref="BYL49:BZB49"/>
    <mergeCell ref="BZC49:BZS49"/>
    <mergeCell ref="BZT49:CAJ49"/>
    <mergeCell ref="BSO49:BTE49"/>
    <mergeCell ref="BTF49:BTV49"/>
    <mergeCell ref="BTW49:BUM49"/>
    <mergeCell ref="BUN49:BVD49"/>
    <mergeCell ref="BVE49:BVU49"/>
    <mergeCell ref="BVV49:BWL49"/>
    <mergeCell ref="CME49:CMU49"/>
    <mergeCell ref="CMV49:CNL49"/>
    <mergeCell ref="CNM49:COC49"/>
    <mergeCell ref="COD49:COT49"/>
    <mergeCell ref="COU49:CPK49"/>
    <mergeCell ref="CPL49:CQB49"/>
    <mergeCell ref="CIG49:CIW49"/>
    <mergeCell ref="CIX49:CJN49"/>
    <mergeCell ref="CJO49:CKE49"/>
    <mergeCell ref="CKF49:CKV49"/>
    <mergeCell ref="CKW49:CLM49"/>
    <mergeCell ref="CLN49:CMD49"/>
    <mergeCell ref="CEI49:CEY49"/>
    <mergeCell ref="CEZ49:CFP49"/>
    <mergeCell ref="CFQ49:CGG49"/>
    <mergeCell ref="CGH49:CGX49"/>
    <mergeCell ref="CGY49:CHO49"/>
    <mergeCell ref="CHP49:CIF49"/>
    <mergeCell ref="CXY49:CYO49"/>
    <mergeCell ref="CYP49:CZF49"/>
    <mergeCell ref="CZG49:CZW49"/>
    <mergeCell ref="CZX49:DAN49"/>
    <mergeCell ref="DAO49:DBE49"/>
    <mergeCell ref="DBF49:DBV49"/>
    <mergeCell ref="CUA49:CUQ49"/>
    <mergeCell ref="CUR49:CVH49"/>
    <mergeCell ref="CVI49:CVY49"/>
    <mergeCell ref="CVZ49:CWP49"/>
    <mergeCell ref="CWQ49:CXG49"/>
    <mergeCell ref="CXH49:CXX49"/>
    <mergeCell ref="CQC49:CQS49"/>
    <mergeCell ref="CQT49:CRJ49"/>
    <mergeCell ref="CRK49:CSA49"/>
    <mergeCell ref="CSB49:CSR49"/>
    <mergeCell ref="CSS49:CTI49"/>
    <mergeCell ref="CTJ49:CTZ49"/>
    <mergeCell ref="DJS49:DKI49"/>
    <mergeCell ref="DKJ49:DKZ49"/>
    <mergeCell ref="DLA49:DLQ49"/>
    <mergeCell ref="DLR49:DMH49"/>
    <mergeCell ref="DMI49:DMY49"/>
    <mergeCell ref="DMZ49:DNP49"/>
    <mergeCell ref="DFU49:DGK49"/>
    <mergeCell ref="DGL49:DHB49"/>
    <mergeCell ref="DHC49:DHS49"/>
    <mergeCell ref="DHT49:DIJ49"/>
    <mergeCell ref="DIK49:DJA49"/>
    <mergeCell ref="DJB49:DJR49"/>
    <mergeCell ref="DBW49:DCM49"/>
    <mergeCell ref="DCN49:DDD49"/>
    <mergeCell ref="DDE49:DDU49"/>
    <mergeCell ref="DDV49:DEL49"/>
    <mergeCell ref="DEM49:DFC49"/>
    <mergeCell ref="DFD49:DFT49"/>
    <mergeCell ref="DVM49:DWC49"/>
    <mergeCell ref="DWD49:DWT49"/>
    <mergeCell ref="DWU49:DXK49"/>
    <mergeCell ref="DXL49:DYB49"/>
    <mergeCell ref="DYC49:DYS49"/>
    <mergeCell ref="DYT49:DZJ49"/>
    <mergeCell ref="DRO49:DSE49"/>
    <mergeCell ref="DSF49:DSV49"/>
    <mergeCell ref="DSW49:DTM49"/>
    <mergeCell ref="DTN49:DUD49"/>
    <mergeCell ref="DUE49:DUU49"/>
    <mergeCell ref="DUV49:DVL49"/>
    <mergeCell ref="DNQ49:DOG49"/>
    <mergeCell ref="DOH49:DOX49"/>
    <mergeCell ref="DOY49:DPO49"/>
    <mergeCell ref="DPP49:DQF49"/>
    <mergeCell ref="DQG49:DQW49"/>
    <mergeCell ref="DQX49:DRN49"/>
    <mergeCell ref="EHG49:EHW49"/>
    <mergeCell ref="EHX49:EIN49"/>
    <mergeCell ref="EIO49:EJE49"/>
    <mergeCell ref="EJF49:EJV49"/>
    <mergeCell ref="EJW49:EKM49"/>
    <mergeCell ref="EKN49:ELD49"/>
    <mergeCell ref="EDI49:EDY49"/>
    <mergeCell ref="EDZ49:EEP49"/>
    <mergeCell ref="EEQ49:EFG49"/>
    <mergeCell ref="EFH49:EFX49"/>
    <mergeCell ref="EFY49:EGO49"/>
    <mergeCell ref="EGP49:EHF49"/>
    <mergeCell ref="DZK49:EAA49"/>
    <mergeCell ref="EAB49:EAR49"/>
    <mergeCell ref="EAS49:EBI49"/>
    <mergeCell ref="EBJ49:EBZ49"/>
    <mergeCell ref="ECA49:ECQ49"/>
    <mergeCell ref="ECR49:EDH49"/>
    <mergeCell ref="ETA49:ETQ49"/>
    <mergeCell ref="ETR49:EUH49"/>
    <mergeCell ref="EUI49:EUY49"/>
    <mergeCell ref="EUZ49:EVP49"/>
    <mergeCell ref="EVQ49:EWG49"/>
    <mergeCell ref="EWH49:EWX49"/>
    <mergeCell ref="EPC49:EPS49"/>
    <mergeCell ref="EPT49:EQJ49"/>
    <mergeCell ref="EQK49:ERA49"/>
    <mergeCell ref="ERB49:ERR49"/>
    <mergeCell ref="ERS49:ESI49"/>
    <mergeCell ref="ESJ49:ESZ49"/>
    <mergeCell ref="ELE49:ELU49"/>
    <mergeCell ref="ELV49:EML49"/>
    <mergeCell ref="EMM49:ENC49"/>
    <mergeCell ref="END49:ENT49"/>
    <mergeCell ref="ENU49:EOK49"/>
    <mergeCell ref="EOL49:EPB49"/>
    <mergeCell ref="FEU49:FFK49"/>
    <mergeCell ref="FFL49:FGB49"/>
    <mergeCell ref="FGC49:FGS49"/>
    <mergeCell ref="FGT49:FHJ49"/>
    <mergeCell ref="FHK49:FIA49"/>
    <mergeCell ref="FIB49:FIR49"/>
    <mergeCell ref="FAW49:FBM49"/>
    <mergeCell ref="FBN49:FCD49"/>
    <mergeCell ref="FCE49:FCU49"/>
    <mergeCell ref="FCV49:FDL49"/>
    <mergeCell ref="FDM49:FEC49"/>
    <mergeCell ref="FED49:FET49"/>
    <mergeCell ref="EWY49:EXO49"/>
    <mergeCell ref="EXP49:EYF49"/>
    <mergeCell ref="EYG49:EYW49"/>
    <mergeCell ref="EYX49:EZN49"/>
    <mergeCell ref="EZO49:FAE49"/>
    <mergeCell ref="FAF49:FAV49"/>
    <mergeCell ref="FQO49:FRE49"/>
    <mergeCell ref="FRF49:FRV49"/>
    <mergeCell ref="FRW49:FSM49"/>
    <mergeCell ref="FSN49:FTD49"/>
    <mergeCell ref="FTE49:FTU49"/>
    <mergeCell ref="FTV49:FUL49"/>
    <mergeCell ref="FMQ49:FNG49"/>
    <mergeCell ref="FNH49:FNX49"/>
    <mergeCell ref="FNY49:FOO49"/>
    <mergeCell ref="FOP49:FPF49"/>
    <mergeCell ref="FPG49:FPW49"/>
    <mergeCell ref="FPX49:FQN49"/>
    <mergeCell ref="FIS49:FJI49"/>
    <mergeCell ref="FJJ49:FJZ49"/>
    <mergeCell ref="FKA49:FKQ49"/>
    <mergeCell ref="FKR49:FLH49"/>
    <mergeCell ref="FLI49:FLY49"/>
    <mergeCell ref="FLZ49:FMP49"/>
    <mergeCell ref="GCI49:GCY49"/>
    <mergeCell ref="GCZ49:GDP49"/>
    <mergeCell ref="GDQ49:GEG49"/>
    <mergeCell ref="GEH49:GEX49"/>
    <mergeCell ref="GEY49:GFO49"/>
    <mergeCell ref="GFP49:GGF49"/>
    <mergeCell ref="FYK49:FZA49"/>
    <mergeCell ref="FZB49:FZR49"/>
    <mergeCell ref="FZS49:GAI49"/>
    <mergeCell ref="GAJ49:GAZ49"/>
    <mergeCell ref="GBA49:GBQ49"/>
    <mergeCell ref="GBR49:GCH49"/>
    <mergeCell ref="FUM49:FVC49"/>
    <mergeCell ref="FVD49:FVT49"/>
    <mergeCell ref="FVU49:FWK49"/>
    <mergeCell ref="FWL49:FXB49"/>
    <mergeCell ref="FXC49:FXS49"/>
    <mergeCell ref="FXT49:FYJ49"/>
    <mergeCell ref="GOC49:GOS49"/>
    <mergeCell ref="GOT49:GPJ49"/>
    <mergeCell ref="GPK49:GQA49"/>
    <mergeCell ref="GQB49:GQR49"/>
    <mergeCell ref="GQS49:GRI49"/>
    <mergeCell ref="GRJ49:GRZ49"/>
    <mergeCell ref="GKE49:GKU49"/>
    <mergeCell ref="GKV49:GLL49"/>
    <mergeCell ref="GLM49:GMC49"/>
    <mergeCell ref="GMD49:GMT49"/>
    <mergeCell ref="GMU49:GNK49"/>
    <mergeCell ref="GNL49:GOB49"/>
    <mergeCell ref="GGG49:GGW49"/>
    <mergeCell ref="GGX49:GHN49"/>
    <mergeCell ref="GHO49:GIE49"/>
    <mergeCell ref="GIF49:GIV49"/>
    <mergeCell ref="GIW49:GJM49"/>
    <mergeCell ref="GJN49:GKD49"/>
    <mergeCell ref="GZW49:HAM49"/>
    <mergeCell ref="HAN49:HBD49"/>
    <mergeCell ref="HBE49:HBU49"/>
    <mergeCell ref="HBV49:HCL49"/>
    <mergeCell ref="HCM49:HDC49"/>
    <mergeCell ref="HDD49:HDT49"/>
    <mergeCell ref="GVY49:GWO49"/>
    <mergeCell ref="GWP49:GXF49"/>
    <mergeCell ref="GXG49:GXW49"/>
    <mergeCell ref="GXX49:GYN49"/>
    <mergeCell ref="GYO49:GZE49"/>
    <mergeCell ref="GZF49:GZV49"/>
    <mergeCell ref="GSA49:GSQ49"/>
    <mergeCell ref="GSR49:GTH49"/>
    <mergeCell ref="GTI49:GTY49"/>
    <mergeCell ref="GTZ49:GUP49"/>
    <mergeCell ref="GUQ49:GVG49"/>
    <mergeCell ref="GVH49:GVX49"/>
    <mergeCell ref="HLQ49:HMG49"/>
    <mergeCell ref="HMH49:HMX49"/>
    <mergeCell ref="HMY49:HNO49"/>
    <mergeCell ref="HNP49:HOF49"/>
    <mergeCell ref="HOG49:HOW49"/>
    <mergeCell ref="HOX49:HPN49"/>
    <mergeCell ref="HHS49:HII49"/>
    <mergeCell ref="HIJ49:HIZ49"/>
    <mergeCell ref="HJA49:HJQ49"/>
    <mergeCell ref="HJR49:HKH49"/>
    <mergeCell ref="HKI49:HKY49"/>
    <mergeCell ref="HKZ49:HLP49"/>
    <mergeCell ref="HDU49:HEK49"/>
    <mergeCell ref="HEL49:HFB49"/>
    <mergeCell ref="HFC49:HFS49"/>
    <mergeCell ref="HFT49:HGJ49"/>
    <mergeCell ref="HGK49:HHA49"/>
    <mergeCell ref="HHB49:HHR49"/>
    <mergeCell ref="HXK49:HYA49"/>
    <mergeCell ref="HYB49:HYR49"/>
    <mergeCell ref="HYS49:HZI49"/>
    <mergeCell ref="HZJ49:HZZ49"/>
    <mergeCell ref="IAA49:IAQ49"/>
    <mergeCell ref="IAR49:IBH49"/>
    <mergeCell ref="HTM49:HUC49"/>
    <mergeCell ref="HUD49:HUT49"/>
    <mergeCell ref="HUU49:HVK49"/>
    <mergeCell ref="HVL49:HWB49"/>
    <mergeCell ref="HWC49:HWS49"/>
    <mergeCell ref="HWT49:HXJ49"/>
    <mergeCell ref="HPO49:HQE49"/>
    <mergeCell ref="HQF49:HQV49"/>
    <mergeCell ref="HQW49:HRM49"/>
    <mergeCell ref="HRN49:HSD49"/>
    <mergeCell ref="HSE49:HSU49"/>
    <mergeCell ref="HSV49:HTL49"/>
    <mergeCell ref="IJE49:IJU49"/>
    <mergeCell ref="IJV49:IKL49"/>
    <mergeCell ref="IKM49:ILC49"/>
    <mergeCell ref="ILD49:ILT49"/>
    <mergeCell ref="ILU49:IMK49"/>
    <mergeCell ref="IML49:INB49"/>
    <mergeCell ref="IFG49:IFW49"/>
    <mergeCell ref="IFX49:IGN49"/>
    <mergeCell ref="IGO49:IHE49"/>
    <mergeCell ref="IHF49:IHV49"/>
    <mergeCell ref="IHW49:IIM49"/>
    <mergeCell ref="IIN49:IJD49"/>
    <mergeCell ref="IBI49:IBY49"/>
    <mergeCell ref="IBZ49:ICP49"/>
    <mergeCell ref="ICQ49:IDG49"/>
    <mergeCell ref="IDH49:IDX49"/>
    <mergeCell ref="IDY49:IEO49"/>
    <mergeCell ref="IEP49:IFF49"/>
    <mergeCell ref="IUY49:IVO49"/>
    <mergeCell ref="IVP49:IWF49"/>
    <mergeCell ref="IWG49:IWW49"/>
    <mergeCell ref="IWX49:IXN49"/>
    <mergeCell ref="IXO49:IYE49"/>
    <mergeCell ref="IYF49:IYV49"/>
    <mergeCell ref="IRA49:IRQ49"/>
    <mergeCell ref="IRR49:ISH49"/>
    <mergeCell ref="ISI49:ISY49"/>
    <mergeCell ref="ISZ49:ITP49"/>
    <mergeCell ref="ITQ49:IUG49"/>
    <mergeCell ref="IUH49:IUX49"/>
    <mergeCell ref="INC49:INS49"/>
    <mergeCell ref="INT49:IOJ49"/>
    <mergeCell ref="IOK49:IPA49"/>
    <mergeCell ref="IPB49:IPR49"/>
    <mergeCell ref="IPS49:IQI49"/>
    <mergeCell ref="IQJ49:IQZ49"/>
    <mergeCell ref="JGS49:JHI49"/>
    <mergeCell ref="JHJ49:JHZ49"/>
    <mergeCell ref="JIA49:JIQ49"/>
    <mergeCell ref="JIR49:JJH49"/>
    <mergeCell ref="JJI49:JJY49"/>
    <mergeCell ref="JJZ49:JKP49"/>
    <mergeCell ref="JCU49:JDK49"/>
    <mergeCell ref="JDL49:JEB49"/>
    <mergeCell ref="JEC49:JES49"/>
    <mergeCell ref="JET49:JFJ49"/>
    <mergeCell ref="JFK49:JGA49"/>
    <mergeCell ref="JGB49:JGR49"/>
    <mergeCell ref="IYW49:IZM49"/>
    <mergeCell ref="IZN49:JAD49"/>
    <mergeCell ref="JAE49:JAU49"/>
    <mergeCell ref="JAV49:JBL49"/>
    <mergeCell ref="JBM49:JCC49"/>
    <mergeCell ref="JCD49:JCT49"/>
    <mergeCell ref="JSM49:JTC49"/>
    <mergeCell ref="JTD49:JTT49"/>
    <mergeCell ref="JTU49:JUK49"/>
    <mergeCell ref="JUL49:JVB49"/>
    <mergeCell ref="JVC49:JVS49"/>
    <mergeCell ref="JVT49:JWJ49"/>
    <mergeCell ref="JOO49:JPE49"/>
    <mergeCell ref="JPF49:JPV49"/>
    <mergeCell ref="JPW49:JQM49"/>
    <mergeCell ref="JQN49:JRD49"/>
    <mergeCell ref="JRE49:JRU49"/>
    <mergeCell ref="JRV49:JSL49"/>
    <mergeCell ref="JKQ49:JLG49"/>
    <mergeCell ref="JLH49:JLX49"/>
    <mergeCell ref="JLY49:JMO49"/>
    <mergeCell ref="JMP49:JNF49"/>
    <mergeCell ref="JNG49:JNW49"/>
    <mergeCell ref="JNX49:JON49"/>
    <mergeCell ref="KEG49:KEW49"/>
    <mergeCell ref="KEX49:KFN49"/>
    <mergeCell ref="KFO49:KGE49"/>
    <mergeCell ref="KGF49:KGV49"/>
    <mergeCell ref="KGW49:KHM49"/>
    <mergeCell ref="KHN49:KID49"/>
    <mergeCell ref="KAI49:KAY49"/>
    <mergeCell ref="KAZ49:KBP49"/>
    <mergeCell ref="KBQ49:KCG49"/>
    <mergeCell ref="KCH49:KCX49"/>
    <mergeCell ref="KCY49:KDO49"/>
    <mergeCell ref="KDP49:KEF49"/>
    <mergeCell ref="JWK49:JXA49"/>
    <mergeCell ref="JXB49:JXR49"/>
    <mergeCell ref="JXS49:JYI49"/>
    <mergeCell ref="JYJ49:JYZ49"/>
    <mergeCell ref="JZA49:JZQ49"/>
    <mergeCell ref="JZR49:KAH49"/>
    <mergeCell ref="KQA49:KQQ49"/>
    <mergeCell ref="KQR49:KRH49"/>
    <mergeCell ref="KRI49:KRY49"/>
    <mergeCell ref="KRZ49:KSP49"/>
    <mergeCell ref="KSQ49:KTG49"/>
    <mergeCell ref="KTH49:KTX49"/>
    <mergeCell ref="KMC49:KMS49"/>
    <mergeCell ref="KMT49:KNJ49"/>
    <mergeCell ref="KNK49:KOA49"/>
    <mergeCell ref="KOB49:KOR49"/>
    <mergeCell ref="KOS49:KPI49"/>
    <mergeCell ref="KPJ49:KPZ49"/>
    <mergeCell ref="KIE49:KIU49"/>
    <mergeCell ref="KIV49:KJL49"/>
    <mergeCell ref="KJM49:KKC49"/>
    <mergeCell ref="KKD49:KKT49"/>
    <mergeCell ref="KKU49:KLK49"/>
    <mergeCell ref="KLL49:KMB49"/>
    <mergeCell ref="LBU49:LCK49"/>
    <mergeCell ref="LCL49:LDB49"/>
    <mergeCell ref="LDC49:LDS49"/>
    <mergeCell ref="LDT49:LEJ49"/>
    <mergeCell ref="LEK49:LFA49"/>
    <mergeCell ref="LFB49:LFR49"/>
    <mergeCell ref="KXW49:KYM49"/>
    <mergeCell ref="KYN49:KZD49"/>
    <mergeCell ref="KZE49:KZU49"/>
    <mergeCell ref="KZV49:LAL49"/>
    <mergeCell ref="LAM49:LBC49"/>
    <mergeCell ref="LBD49:LBT49"/>
    <mergeCell ref="KTY49:KUO49"/>
    <mergeCell ref="KUP49:KVF49"/>
    <mergeCell ref="KVG49:KVW49"/>
    <mergeCell ref="KVX49:KWN49"/>
    <mergeCell ref="KWO49:KXE49"/>
    <mergeCell ref="KXF49:KXV49"/>
    <mergeCell ref="LNO49:LOE49"/>
    <mergeCell ref="LOF49:LOV49"/>
    <mergeCell ref="LOW49:LPM49"/>
    <mergeCell ref="LPN49:LQD49"/>
    <mergeCell ref="LQE49:LQU49"/>
    <mergeCell ref="LQV49:LRL49"/>
    <mergeCell ref="LJQ49:LKG49"/>
    <mergeCell ref="LKH49:LKX49"/>
    <mergeCell ref="LKY49:LLO49"/>
    <mergeCell ref="LLP49:LMF49"/>
    <mergeCell ref="LMG49:LMW49"/>
    <mergeCell ref="LMX49:LNN49"/>
    <mergeCell ref="LFS49:LGI49"/>
    <mergeCell ref="LGJ49:LGZ49"/>
    <mergeCell ref="LHA49:LHQ49"/>
    <mergeCell ref="LHR49:LIH49"/>
    <mergeCell ref="LII49:LIY49"/>
    <mergeCell ref="LIZ49:LJP49"/>
    <mergeCell ref="LZI49:LZY49"/>
    <mergeCell ref="LZZ49:MAP49"/>
    <mergeCell ref="MAQ49:MBG49"/>
    <mergeCell ref="MBH49:MBX49"/>
    <mergeCell ref="MBY49:MCO49"/>
    <mergeCell ref="MCP49:MDF49"/>
    <mergeCell ref="LVK49:LWA49"/>
    <mergeCell ref="LWB49:LWR49"/>
    <mergeCell ref="LWS49:LXI49"/>
    <mergeCell ref="LXJ49:LXZ49"/>
    <mergeCell ref="LYA49:LYQ49"/>
    <mergeCell ref="LYR49:LZH49"/>
    <mergeCell ref="LRM49:LSC49"/>
    <mergeCell ref="LSD49:LST49"/>
    <mergeCell ref="LSU49:LTK49"/>
    <mergeCell ref="LTL49:LUB49"/>
    <mergeCell ref="LUC49:LUS49"/>
    <mergeCell ref="LUT49:LVJ49"/>
    <mergeCell ref="MLC49:MLS49"/>
    <mergeCell ref="MLT49:MMJ49"/>
    <mergeCell ref="MMK49:MNA49"/>
    <mergeCell ref="MNB49:MNR49"/>
    <mergeCell ref="MNS49:MOI49"/>
    <mergeCell ref="MOJ49:MOZ49"/>
    <mergeCell ref="MHE49:MHU49"/>
    <mergeCell ref="MHV49:MIL49"/>
    <mergeCell ref="MIM49:MJC49"/>
    <mergeCell ref="MJD49:MJT49"/>
    <mergeCell ref="MJU49:MKK49"/>
    <mergeCell ref="MKL49:MLB49"/>
    <mergeCell ref="MDG49:MDW49"/>
    <mergeCell ref="MDX49:MEN49"/>
    <mergeCell ref="MEO49:MFE49"/>
    <mergeCell ref="MFF49:MFV49"/>
    <mergeCell ref="MFW49:MGM49"/>
    <mergeCell ref="MGN49:MHD49"/>
    <mergeCell ref="MWW49:MXM49"/>
    <mergeCell ref="MXN49:MYD49"/>
    <mergeCell ref="MYE49:MYU49"/>
    <mergeCell ref="MYV49:MZL49"/>
    <mergeCell ref="MZM49:NAC49"/>
    <mergeCell ref="NAD49:NAT49"/>
    <mergeCell ref="MSY49:MTO49"/>
    <mergeCell ref="MTP49:MUF49"/>
    <mergeCell ref="MUG49:MUW49"/>
    <mergeCell ref="MUX49:MVN49"/>
    <mergeCell ref="MVO49:MWE49"/>
    <mergeCell ref="MWF49:MWV49"/>
    <mergeCell ref="MPA49:MPQ49"/>
    <mergeCell ref="MPR49:MQH49"/>
    <mergeCell ref="MQI49:MQY49"/>
    <mergeCell ref="MQZ49:MRP49"/>
    <mergeCell ref="MRQ49:MSG49"/>
    <mergeCell ref="MSH49:MSX49"/>
    <mergeCell ref="NIQ49:NJG49"/>
    <mergeCell ref="NJH49:NJX49"/>
    <mergeCell ref="NJY49:NKO49"/>
    <mergeCell ref="NKP49:NLF49"/>
    <mergeCell ref="NLG49:NLW49"/>
    <mergeCell ref="NLX49:NMN49"/>
    <mergeCell ref="NES49:NFI49"/>
    <mergeCell ref="NFJ49:NFZ49"/>
    <mergeCell ref="NGA49:NGQ49"/>
    <mergeCell ref="NGR49:NHH49"/>
    <mergeCell ref="NHI49:NHY49"/>
    <mergeCell ref="NHZ49:NIP49"/>
    <mergeCell ref="NAU49:NBK49"/>
    <mergeCell ref="NBL49:NCB49"/>
    <mergeCell ref="NCC49:NCS49"/>
    <mergeCell ref="NCT49:NDJ49"/>
    <mergeCell ref="NDK49:NEA49"/>
    <mergeCell ref="NEB49:NER49"/>
    <mergeCell ref="NUK49:NVA49"/>
    <mergeCell ref="NVB49:NVR49"/>
    <mergeCell ref="NVS49:NWI49"/>
    <mergeCell ref="NWJ49:NWZ49"/>
    <mergeCell ref="NXA49:NXQ49"/>
    <mergeCell ref="NXR49:NYH49"/>
    <mergeCell ref="NQM49:NRC49"/>
    <mergeCell ref="NRD49:NRT49"/>
    <mergeCell ref="NRU49:NSK49"/>
    <mergeCell ref="NSL49:NTB49"/>
    <mergeCell ref="NTC49:NTS49"/>
    <mergeCell ref="NTT49:NUJ49"/>
    <mergeCell ref="NMO49:NNE49"/>
    <mergeCell ref="NNF49:NNV49"/>
    <mergeCell ref="NNW49:NOM49"/>
    <mergeCell ref="NON49:NPD49"/>
    <mergeCell ref="NPE49:NPU49"/>
    <mergeCell ref="NPV49:NQL49"/>
    <mergeCell ref="OGE49:OGU49"/>
    <mergeCell ref="OGV49:OHL49"/>
    <mergeCell ref="OHM49:OIC49"/>
    <mergeCell ref="OID49:OIT49"/>
    <mergeCell ref="OIU49:OJK49"/>
    <mergeCell ref="OJL49:OKB49"/>
    <mergeCell ref="OCG49:OCW49"/>
    <mergeCell ref="OCX49:ODN49"/>
    <mergeCell ref="ODO49:OEE49"/>
    <mergeCell ref="OEF49:OEV49"/>
    <mergeCell ref="OEW49:OFM49"/>
    <mergeCell ref="OFN49:OGD49"/>
    <mergeCell ref="NYI49:NYY49"/>
    <mergeCell ref="NYZ49:NZP49"/>
    <mergeCell ref="NZQ49:OAG49"/>
    <mergeCell ref="OAH49:OAX49"/>
    <mergeCell ref="OAY49:OBO49"/>
    <mergeCell ref="OBP49:OCF49"/>
    <mergeCell ref="ORY49:OSO49"/>
    <mergeCell ref="OSP49:OTF49"/>
    <mergeCell ref="OTG49:OTW49"/>
    <mergeCell ref="OTX49:OUN49"/>
    <mergeCell ref="OUO49:OVE49"/>
    <mergeCell ref="OVF49:OVV49"/>
    <mergeCell ref="OOA49:OOQ49"/>
    <mergeCell ref="OOR49:OPH49"/>
    <mergeCell ref="OPI49:OPY49"/>
    <mergeCell ref="OPZ49:OQP49"/>
    <mergeCell ref="OQQ49:ORG49"/>
    <mergeCell ref="ORH49:ORX49"/>
    <mergeCell ref="OKC49:OKS49"/>
    <mergeCell ref="OKT49:OLJ49"/>
    <mergeCell ref="OLK49:OMA49"/>
    <mergeCell ref="OMB49:OMR49"/>
    <mergeCell ref="OMS49:ONI49"/>
    <mergeCell ref="ONJ49:ONZ49"/>
    <mergeCell ref="PDS49:PEI49"/>
    <mergeCell ref="PEJ49:PEZ49"/>
    <mergeCell ref="PFA49:PFQ49"/>
    <mergeCell ref="PFR49:PGH49"/>
    <mergeCell ref="PGI49:PGY49"/>
    <mergeCell ref="PGZ49:PHP49"/>
    <mergeCell ref="OZU49:PAK49"/>
    <mergeCell ref="PAL49:PBB49"/>
    <mergeCell ref="PBC49:PBS49"/>
    <mergeCell ref="PBT49:PCJ49"/>
    <mergeCell ref="PCK49:PDA49"/>
    <mergeCell ref="PDB49:PDR49"/>
    <mergeCell ref="OVW49:OWM49"/>
    <mergeCell ref="OWN49:OXD49"/>
    <mergeCell ref="OXE49:OXU49"/>
    <mergeCell ref="OXV49:OYL49"/>
    <mergeCell ref="OYM49:OZC49"/>
    <mergeCell ref="OZD49:OZT49"/>
    <mergeCell ref="PPM49:PQC49"/>
    <mergeCell ref="PQD49:PQT49"/>
    <mergeCell ref="PQU49:PRK49"/>
    <mergeCell ref="PRL49:PSB49"/>
    <mergeCell ref="PSC49:PSS49"/>
    <mergeCell ref="PST49:PTJ49"/>
    <mergeCell ref="PLO49:PME49"/>
    <mergeCell ref="PMF49:PMV49"/>
    <mergeCell ref="PMW49:PNM49"/>
    <mergeCell ref="PNN49:POD49"/>
    <mergeCell ref="POE49:POU49"/>
    <mergeCell ref="POV49:PPL49"/>
    <mergeCell ref="PHQ49:PIG49"/>
    <mergeCell ref="PIH49:PIX49"/>
    <mergeCell ref="PIY49:PJO49"/>
    <mergeCell ref="PJP49:PKF49"/>
    <mergeCell ref="PKG49:PKW49"/>
    <mergeCell ref="PKX49:PLN49"/>
    <mergeCell ref="QBG49:QBW49"/>
    <mergeCell ref="QBX49:QCN49"/>
    <mergeCell ref="QCO49:QDE49"/>
    <mergeCell ref="QDF49:QDV49"/>
    <mergeCell ref="QDW49:QEM49"/>
    <mergeCell ref="QEN49:QFD49"/>
    <mergeCell ref="PXI49:PXY49"/>
    <mergeCell ref="PXZ49:PYP49"/>
    <mergeCell ref="PYQ49:PZG49"/>
    <mergeCell ref="PZH49:PZX49"/>
    <mergeCell ref="PZY49:QAO49"/>
    <mergeCell ref="QAP49:QBF49"/>
    <mergeCell ref="PTK49:PUA49"/>
    <mergeCell ref="PUB49:PUR49"/>
    <mergeCell ref="PUS49:PVI49"/>
    <mergeCell ref="PVJ49:PVZ49"/>
    <mergeCell ref="PWA49:PWQ49"/>
    <mergeCell ref="PWR49:PXH49"/>
    <mergeCell ref="QNA49:QNQ49"/>
    <mergeCell ref="QNR49:QOH49"/>
    <mergeCell ref="QOI49:QOY49"/>
    <mergeCell ref="QOZ49:QPP49"/>
    <mergeCell ref="QPQ49:QQG49"/>
    <mergeCell ref="QQH49:QQX49"/>
    <mergeCell ref="QJC49:QJS49"/>
    <mergeCell ref="QJT49:QKJ49"/>
    <mergeCell ref="QKK49:QLA49"/>
    <mergeCell ref="QLB49:QLR49"/>
    <mergeCell ref="QLS49:QMI49"/>
    <mergeCell ref="QMJ49:QMZ49"/>
    <mergeCell ref="QFE49:QFU49"/>
    <mergeCell ref="QFV49:QGL49"/>
    <mergeCell ref="QGM49:QHC49"/>
    <mergeCell ref="QHD49:QHT49"/>
    <mergeCell ref="QHU49:QIK49"/>
    <mergeCell ref="QIL49:QJB49"/>
    <mergeCell ref="QYU49:QZK49"/>
    <mergeCell ref="QZL49:RAB49"/>
    <mergeCell ref="RAC49:RAS49"/>
    <mergeCell ref="RAT49:RBJ49"/>
    <mergeCell ref="RBK49:RCA49"/>
    <mergeCell ref="RCB49:RCR49"/>
    <mergeCell ref="QUW49:QVM49"/>
    <mergeCell ref="QVN49:QWD49"/>
    <mergeCell ref="QWE49:QWU49"/>
    <mergeCell ref="QWV49:QXL49"/>
    <mergeCell ref="QXM49:QYC49"/>
    <mergeCell ref="QYD49:QYT49"/>
    <mergeCell ref="QQY49:QRO49"/>
    <mergeCell ref="QRP49:QSF49"/>
    <mergeCell ref="QSG49:QSW49"/>
    <mergeCell ref="QSX49:QTN49"/>
    <mergeCell ref="QTO49:QUE49"/>
    <mergeCell ref="QUF49:QUV49"/>
    <mergeCell ref="RKO49:RLE49"/>
    <mergeCell ref="RLF49:RLV49"/>
    <mergeCell ref="RLW49:RMM49"/>
    <mergeCell ref="RMN49:RND49"/>
    <mergeCell ref="RNE49:RNU49"/>
    <mergeCell ref="RNV49:ROL49"/>
    <mergeCell ref="RGQ49:RHG49"/>
    <mergeCell ref="RHH49:RHX49"/>
    <mergeCell ref="RHY49:RIO49"/>
    <mergeCell ref="RIP49:RJF49"/>
    <mergeCell ref="RJG49:RJW49"/>
    <mergeCell ref="RJX49:RKN49"/>
    <mergeCell ref="RCS49:RDI49"/>
    <mergeCell ref="RDJ49:RDZ49"/>
    <mergeCell ref="REA49:REQ49"/>
    <mergeCell ref="RER49:RFH49"/>
    <mergeCell ref="RFI49:RFY49"/>
    <mergeCell ref="RFZ49:RGP49"/>
    <mergeCell ref="RWI49:RWY49"/>
    <mergeCell ref="RWZ49:RXP49"/>
    <mergeCell ref="RXQ49:RYG49"/>
    <mergeCell ref="RYH49:RYX49"/>
    <mergeCell ref="RYY49:RZO49"/>
    <mergeCell ref="RZP49:SAF49"/>
    <mergeCell ref="RSK49:RTA49"/>
    <mergeCell ref="RTB49:RTR49"/>
    <mergeCell ref="RTS49:RUI49"/>
    <mergeCell ref="RUJ49:RUZ49"/>
    <mergeCell ref="RVA49:RVQ49"/>
    <mergeCell ref="RVR49:RWH49"/>
    <mergeCell ref="ROM49:RPC49"/>
    <mergeCell ref="RPD49:RPT49"/>
    <mergeCell ref="RPU49:RQK49"/>
    <mergeCell ref="RQL49:RRB49"/>
    <mergeCell ref="RRC49:RRS49"/>
    <mergeCell ref="RRT49:RSJ49"/>
    <mergeCell ref="SIC49:SIS49"/>
    <mergeCell ref="SIT49:SJJ49"/>
    <mergeCell ref="SJK49:SKA49"/>
    <mergeCell ref="SKB49:SKR49"/>
    <mergeCell ref="SKS49:SLI49"/>
    <mergeCell ref="SLJ49:SLZ49"/>
    <mergeCell ref="SEE49:SEU49"/>
    <mergeCell ref="SEV49:SFL49"/>
    <mergeCell ref="SFM49:SGC49"/>
    <mergeCell ref="SGD49:SGT49"/>
    <mergeCell ref="SGU49:SHK49"/>
    <mergeCell ref="SHL49:SIB49"/>
    <mergeCell ref="SAG49:SAW49"/>
    <mergeCell ref="SAX49:SBN49"/>
    <mergeCell ref="SBO49:SCE49"/>
    <mergeCell ref="SCF49:SCV49"/>
    <mergeCell ref="SCW49:SDM49"/>
    <mergeCell ref="SDN49:SED49"/>
    <mergeCell ref="STW49:SUM49"/>
    <mergeCell ref="SUN49:SVD49"/>
    <mergeCell ref="SVE49:SVU49"/>
    <mergeCell ref="SVV49:SWL49"/>
    <mergeCell ref="SWM49:SXC49"/>
    <mergeCell ref="SXD49:SXT49"/>
    <mergeCell ref="SPY49:SQO49"/>
    <mergeCell ref="SQP49:SRF49"/>
    <mergeCell ref="SRG49:SRW49"/>
    <mergeCell ref="SRX49:SSN49"/>
    <mergeCell ref="SSO49:STE49"/>
    <mergeCell ref="STF49:STV49"/>
    <mergeCell ref="SMA49:SMQ49"/>
    <mergeCell ref="SMR49:SNH49"/>
    <mergeCell ref="SNI49:SNY49"/>
    <mergeCell ref="SNZ49:SOP49"/>
    <mergeCell ref="SOQ49:SPG49"/>
    <mergeCell ref="SPH49:SPX49"/>
    <mergeCell ref="TFQ49:TGG49"/>
    <mergeCell ref="TGH49:TGX49"/>
    <mergeCell ref="TGY49:THO49"/>
    <mergeCell ref="THP49:TIF49"/>
    <mergeCell ref="TIG49:TIW49"/>
    <mergeCell ref="TIX49:TJN49"/>
    <mergeCell ref="TBS49:TCI49"/>
    <mergeCell ref="TCJ49:TCZ49"/>
    <mergeCell ref="TDA49:TDQ49"/>
    <mergeCell ref="TDR49:TEH49"/>
    <mergeCell ref="TEI49:TEY49"/>
    <mergeCell ref="TEZ49:TFP49"/>
    <mergeCell ref="SXU49:SYK49"/>
    <mergeCell ref="SYL49:SZB49"/>
    <mergeCell ref="SZC49:SZS49"/>
    <mergeCell ref="SZT49:TAJ49"/>
    <mergeCell ref="TAK49:TBA49"/>
    <mergeCell ref="TBB49:TBR49"/>
    <mergeCell ref="TRK49:TSA49"/>
    <mergeCell ref="TSB49:TSR49"/>
    <mergeCell ref="TSS49:TTI49"/>
    <mergeCell ref="TTJ49:TTZ49"/>
    <mergeCell ref="TUA49:TUQ49"/>
    <mergeCell ref="TUR49:TVH49"/>
    <mergeCell ref="TNM49:TOC49"/>
    <mergeCell ref="TOD49:TOT49"/>
    <mergeCell ref="TOU49:TPK49"/>
    <mergeCell ref="TPL49:TQB49"/>
    <mergeCell ref="TQC49:TQS49"/>
    <mergeCell ref="TQT49:TRJ49"/>
    <mergeCell ref="TJO49:TKE49"/>
    <mergeCell ref="TKF49:TKV49"/>
    <mergeCell ref="TKW49:TLM49"/>
    <mergeCell ref="TLN49:TMD49"/>
    <mergeCell ref="TME49:TMU49"/>
    <mergeCell ref="TMV49:TNL49"/>
    <mergeCell ref="UDE49:UDU49"/>
    <mergeCell ref="UDV49:UEL49"/>
    <mergeCell ref="UEM49:UFC49"/>
    <mergeCell ref="UFD49:UFT49"/>
    <mergeCell ref="UFU49:UGK49"/>
    <mergeCell ref="UGL49:UHB49"/>
    <mergeCell ref="TZG49:TZW49"/>
    <mergeCell ref="TZX49:UAN49"/>
    <mergeCell ref="UAO49:UBE49"/>
    <mergeCell ref="UBF49:UBV49"/>
    <mergeCell ref="UBW49:UCM49"/>
    <mergeCell ref="UCN49:UDD49"/>
    <mergeCell ref="TVI49:TVY49"/>
    <mergeCell ref="TVZ49:TWP49"/>
    <mergeCell ref="TWQ49:TXG49"/>
    <mergeCell ref="TXH49:TXX49"/>
    <mergeCell ref="TXY49:TYO49"/>
    <mergeCell ref="TYP49:TZF49"/>
    <mergeCell ref="UOY49:UPO49"/>
    <mergeCell ref="UPP49:UQF49"/>
    <mergeCell ref="UQG49:UQW49"/>
    <mergeCell ref="UQX49:URN49"/>
    <mergeCell ref="URO49:USE49"/>
    <mergeCell ref="USF49:USV49"/>
    <mergeCell ref="ULA49:ULQ49"/>
    <mergeCell ref="ULR49:UMH49"/>
    <mergeCell ref="UMI49:UMY49"/>
    <mergeCell ref="UMZ49:UNP49"/>
    <mergeCell ref="UNQ49:UOG49"/>
    <mergeCell ref="UOH49:UOX49"/>
    <mergeCell ref="UHC49:UHS49"/>
    <mergeCell ref="UHT49:UIJ49"/>
    <mergeCell ref="UIK49:UJA49"/>
    <mergeCell ref="UJB49:UJR49"/>
    <mergeCell ref="UJS49:UKI49"/>
    <mergeCell ref="UKJ49:UKZ49"/>
    <mergeCell ref="VAS49:VBI49"/>
    <mergeCell ref="VBJ49:VBZ49"/>
    <mergeCell ref="VCA49:VCQ49"/>
    <mergeCell ref="VCR49:VDH49"/>
    <mergeCell ref="VDI49:VDY49"/>
    <mergeCell ref="VDZ49:VEP49"/>
    <mergeCell ref="UWU49:UXK49"/>
    <mergeCell ref="UXL49:UYB49"/>
    <mergeCell ref="UYC49:UYS49"/>
    <mergeCell ref="UYT49:UZJ49"/>
    <mergeCell ref="UZK49:VAA49"/>
    <mergeCell ref="VAB49:VAR49"/>
    <mergeCell ref="USW49:UTM49"/>
    <mergeCell ref="UTN49:UUD49"/>
    <mergeCell ref="UUE49:UUU49"/>
    <mergeCell ref="UUV49:UVL49"/>
    <mergeCell ref="UVM49:UWC49"/>
    <mergeCell ref="UWD49:UWT49"/>
    <mergeCell ref="VMM49:VNC49"/>
    <mergeCell ref="VND49:VNT49"/>
    <mergeCell ref="VNU49:VOK49"/>
    <mergeCell ref="VOL49:VPB49"/>
    <mergeCell ref="VPC49:VPS49"/>
    <mergeCell ref="VPT49:VQJ49"/>
    <mergeCell ref="VIO49:VJE49"/>
    <mergeCell ref="VJF49:VJV49"/>
    <mergeCell ref="VJW49:VKM49"/>
    <mergeCell ref="VKN49:VLD49"/>
    <mergeCell ref="VLE49:VLU49"/>
    <mergeCell ref="VLV49:VML49"/>
    <mergeCell ref="VEQ49:VFG49"/>
    <mergeCell ref="VFH49:VFX49"/>
    <mergeCell ref="VFY49:VGO49"/>
    <mergeCell ref="VGP49:VHF49"/>
    <mergeCell ref="VHG49:VHW49"/>
    <mergeCell ref="VHX49:VIN49"/>
    <mergeCell ref="VYG49:VYW49"/>
    <mergeCell ref="VYX49:VZN49"/>
    <mergeCell ref="VZO49:WAE49"/>
    <mergeCell ref="WAF49:WAV49"/>
    <mergeCell ref="WAW49:WBM49"/>
    <mergeCell ref="WBN49:WCD49"/>
    <mergeCell ref="VUI49:VUY49"/>
    <mergeCell ref="VUZ49:VVP49"/>
    <mergeCell ref="VVQ49:VWG49"/>
    <mergeCell ref="VWH49:VWX49"/>
    <mergeCell ref="VWY49:VXO49"/>
    <mergeCell ref="VXP49:VYF49"/>
    <mergeCell ref="VQK49:VRA49"/>
    <mergeCell ref="VRB49:VRR49"/>
    <mergeCell ref="VRS49:VSI49"/>
    <mergeCell ref="VSJ49:VSZ49"/>
    <mergeCell ref="VTA49:VTQ49"/>
    <mergeCell ref="VTR49:VUH49"/>
    <mergeCell ref="WQO49:WRE49"/>
    <mergeCell ref="WRF49:WRV49"/>
    <mergeCell ref="WKA49:WKQ49"/>
    <mergeCell ref="WKR49:WLH49"/>
    <mergeCell ref="WLI49:WLY49"/>
    <mergeCell ref="WLZ49:WMP49"/>
    <mergeCell ref="WMQ49:WNG49"/>
    <mergeCell ref="WNH49:WNX49"/>
    <mergeCell ref="WGC49:WGS49"/>
    <mergeCell ref="WGT49:WHJ49"/>
    <mergeCell ref="WHK49:WIA49"/>
    <mergeCell ref="WIB49:WIR49"/>
    <mergeCell ref="WIS49:WJI49"/>
    <mergeCell ref="WJJ49:WJZ49"/>
    <mergeCell ref="WCE49:WCU49"/>
    <mergeCell ref="WCV49:WDL49"/>
    <mergeCell ref="WDM49:WEC49"/>
    <mergeCell ref="WED49:WET49"/>
    <mergeCell ref="WEU49:WFK49"/>
    <mergeCell ref="WFL49:WGB49"/>
    <mergeCell ref="XDQ49:XEC49"/>
    <mergeCell ref="S50:AG50"/>
    <mergeCell ref="AX50:BM50"/>
    <mergeCell ref="BN50:BP50"/>
    <mergeCell ref="BQ50:BU50"/>
    <mergeCell ref="BY50:CN50"/>
    <mergeCell ref="CO50:DE50"/>
    <mergeCell ref="DF50:DV50"/>
    <mergeCell ref="DW50:EM50"/>
    <mergeCell ref="EN50:FD50"/>
    <mergeCell ref="WZS49:XAI49"/>
    <mergeCell ref="XAJ49:XAZ49"/>
    <mergeCell ref="XBA49:XBQ49"/>
    <mergeCell ref="XBR49:XCH49"/>
    <mergeCell ref="XCI49:XCY49"/>
    <mergeCell ref="XCZ49:XDP49"/>
    <mergeCell ref="WVU49:WWK49"/>
    <mergeCell ref="WWL49:WXB49"/>
    <mergeCell ref="WXC49:WXS49"/>
    <mergeCell ref="WXT49:WYJ49"/>
    <mergeCell ref="WYK49:WZA49"/>
    <mergeCell ref="WZB49:WZR49"/>
    <mergeCell ref="WRW49:WSM49"/>
    <mergeCell ref="WSN49:WTD49"/>
    <mergeCell ref="WTE49:WTU49"/>
    <mergeCell ref="WTV49:WUL49"/>
    <mergeCell ref="WUM49:WVC49"/>
    <mergeCell ref="WVD49:WVT49"/>
    <mergeCell ref="WNY49:WOO49"/>
    <mergeCell ref="WOP49:WPF49"/>
    <mergeCell ref="WPG49:WPW49"/>
    <mergeCell ref="WPX49:WQN49"/>
    <mergeCell ref="NA50:NQ50"/>
    <mergeCell ref="NR50:OH50"/>
    <mergeCell ref="OI50:OY50"/>
    <mergeCell ref="OZ50:PP50"/>
    <mergeCell ref="PQ50:QG50"/>
    <mergeCell ref="QH50:QX50"/>
    <mergeCell ref="JC50:JS50"/>
    <mergeCell ref="JT50:KJ50"/>
    <mergeCell ref="KK50:LA50"/>
    <mergeCell ref="LB50:LR50"/>
    <mergeCell ref="LS50:MI50"/>
    <mergeCell ref="MJ50:MZ50"/>
    <mergeCell ref="FE50:FU50"/>
    <mergeCell ref="FV50:GL50"/>
    <mergeCell ref="GM50:HC50"/>
    <mergeCell ref="HD50:HT50"/>
    <mergeCell ref="HU50:IK50"/>
    <mergeCell ref="IL50:JB50"/>
    <mergeCell ref="YU50:ZK50"/>
    <mergeCell ref="ZL50:AAB50"/>
    <mergeCell ref="AAC50:AAS50"/>
    <mergeCell ref="AAT50:ABJ50"/>
    <mergeCell ref="ABK50:ACA50"/>
    <mergeCell ref="ACB50:ACR50"/>
    <mergeCell ref="UW50:VM50"/>
    <mergeCell ref="VN50:WD50"/>
    <mergeCell ref="WE50:WU50"/>
    <mergeCell ref="WV50:XL50"/>
    <mergeCell ref="XM50:YC50"/>
    <mergeCell ref="YD50:YT50"/>
    <mergeCell ref="QY50:RO50"/>
    <mergeCell ref="RP50:SF50"/>
    <mergeCell ref="SG50:SW50"/>
    <mergeCell ref="SX50:TN50"/>
    <mergeCell ref="TO50:UE50"/>
    <mergeCell ref="UF50:UV50"/>
    <mergeCell ref="AKO50:ALE50"/>
    <mergeCell ref="ALF50:ALV50"/>
    <mergeCell ref="ALW50:AMM50"/>
    <mergeCell ref="AMN50:AND50"/>
    <mergeCell ref="ANE50:ANU50"/>
    <mergeCell ref="ANV50:AOL50"/>
    <mergeCell ref="AGQ50:AHG50"/>
    <mergeCell ref="AHH50:AHX50"/>
    <mergeCell ref="AHY50:AIO50"/>
    <mergeCell ref="AIP50:AJF50"/>
    <mergeCell ref="AJG50:AJW50"/>
    <mergeCell ref="AJX50:AKN50"/>
    <mergeCell ref="ACS50:ADI50"/>
    <mergeCell ref="ADJ50:ADZ50"/>
    <mergeCell ref="AEA50:AEQ50"/>
    <mergeCell ref="AER50:AFH50"/>
    <mergeCell ref="AFI50:AFY50"/>
    <mergeCell ref="AFZ50:AGP50"/>
    <mergeCell ref="AWI50:AWY50"/>
    <mergeCell ref="AWZ50:AXP50"/>
    <mergeCell ref="AXQ50:AYG50"/>
    <mergeCell ref="AYH50:AYX50"/>
    <mergeCell ref="AYY50:AZO50"/>
    <mergeCell ref="AZP50:BAF50"/>
    <mergeCell ref="ASK50:ATA50"/>
    <mergeCell ref="ATB50:ATR50"/>
    <mergeCell ref="ATS50:AUI50"/>
    <mergeCell ref="AUJ50:AUZ50"/>
    <mergeCell ref="AVA50:AVQ50"/>
    <mergeCell ref="AVR50:AWH50"/>
    <mergeCell ref="AOM50:APC50"/>
    <mergeCell ref="APD50:APT50"/>
    <mergeCell ref="APU50:AQK50"/>
    <mergeCell ref="AQL50:ARB50"/>
    <mergeCell ref="ARC50:ARS50"/>
    <mergeCell ref="ART50:ASJ50"/>
    <mergeCell ref="BIC50:BIS50"/>
    <mergeCell ref="BIT50:BJJ50"/>
    <mergeCell ref="BJK50:BKA50"/>
    <mergeCell ref="BKB50:BKR50"/>
    <mergeCell ref="BKS50:BLI50"/>
    <mergeCell ref="BLJ50:BLZ50"/>
    <mergeCell ref="BEE50:BEU50"/>
    <mergeCell ref="BEV50:BFL50"/>
    <mergeCell ref="BFM50:BGC50"/>
    <mergeCell ref="BGD50:BGT50"/>
    <mergeCell ref="BGU50:BHK50"/>
    <mergeCell ref="BHL50:BIB50"/>
    <mergeCell ref="BAG50:BAW50"/>
    <mergeCell ref="BAX50:BBN50"/>
    <mergeCell ref="BBO50:BCE50"/>
    <mergeCell ref="BCF50:BCV50"/>
    <mergeCell ref="BCW50:BDM50"/>
    <mergeCell ref="BDN50:BED50"/>
    <mergeCell ref="BTW50:BUM50"/>
    <mergeCell ref="BUN50:BVD50"/>
    <mergeCell ref="BVE50:BVU50"/>
    <mergeCell ref="BVV50:BWL50"/>
    <mergeCell ref="BWM50:BXC50"/>
    <mergeCell ref="BXD50:BXT50"/>
    <mergeCell ref="BPY50:BQO50"/>
    <mergeCell ref="BQP50:BRF50"/>
    <mergeCell ref="BRG50:BRW50"/>
    <mergeCell ref="BRX50:BSN50"/>
    <mergeCell ref="BSO50:BTE50"/>
    <mergeCell ref="BTF50:BTV50"/>
    <mergeCell ref="BMA50:BMQ50"/>
    <mergeCell ref="BMR50:BNH50"/>
    <mergeCell ref="BNI50:BNY50"/>
    <mergeCell ref="BNZ50:BOP50"/>
    <mergeCell ref="BOQ50:BPG50"/>
    <mergeCell ref="BPH50:BPX50"/>
    <mergeCell ref="CFQ50:CGG50"/>
    <mergeCell ref="CGH50:CGX50"/>
    <mergeCell ref="CGY50:CHO50"/>
    <mergeCell ref="CHP50:CIF50"/>
    <mergeCell ref="CIG50:CIW50"/>
    <mergeCell ref="CIX50:CJN50"/>
    <mergeCell ref="CBS50:CCI50"/>
    <mergeCell ref="CCJ50:CCZ50"/>
    <mergeCell ref="CDA50:CDQ50"/>
    <mergeCell ref="CDR50:CEH50"/>
    <mergeCell ref="CEI50:CEY50"/>
    <mergeCell ref="CEZ50:CFP50"/>
    <mergeCell ref="BXU50:BYK50"/>
    <mergeCell ref="BYL50:BZB50"/>
    <mergeCell ref="BZC50:BZS50"/>
    <mergeCell ref="BZT50:CAJ50"/>
    <mergeCell ref="CAK50:CBA50"/>
    <mergeCell ref="CBB50:CBR50"/>
    <mergeCell ref="CRK50:CSA50"/>
    <mergeCell ref="CSB50:CSR50"/>
    <mergeCell ref="CSS50:CTI50"/>
    <mergeCell ref="CTJ50:CTZ50"/>
    <mergeCell ref="CUA50:CUQ50"/>
    <mergeCell ref="CUR50:CVH50"/>
    <mergeCell ref="CNM50:COC50"/>
    <mergeCell ref="COD50:COT50"/>
    <mergeCell ref="COU50:CPK50"/>
    <mergeCell ref="CPL50:CQB50"/>
    <mergeCell ref="CQC50:CQS50"/>
    <mergeCell ref="CQT50:CRJ50"/>
    <mergeCell ref="CJO50:CKE50"/>
    <mergeCell ref="CKF50:CKV50"/>
    <mergeCell ref="CKW50:CLM50"/>
    <mergeCell ref="CLN50:CMD50"/>
    <mergeCell ref="CME50:CMU50"/>
    <mergeCell ref="CMV50:CNL50"/>
    <mergeCell ref="DDE50:DDU50"/>
    <mergeCell ref="DDV50:DEL50"/>
    <mergeCell ref="DEM50:DFC50"/>
    <mergeCell ref="DFD50:DFT50"/>
    <mergeCell ref="DFU50:DGK50"/>
    <mergeCell ref="DGL50:DHB50"/>
    <mergeCell ref="CZG50:CZW50"/>
    <mergeCell ref="CZX50:DAN50"/>
    <mergeCell ref="DAO50:DBE50"/>
    <mergeCell ref="DBF50:DBV50"/>
    <mergeCell ref="DBW50:DCM50"/>
    <mergeCell ref="DCN50:DDD50"/>
    <mergeCell ref="CVI50:CVY50"/>
    <mergeCell ref="CVZ50:CWP50"/>
    <mergeCell ref="CWQ50:CXG50"/>
    <mergeCell ref="CXH50:CXX50"/>
    <mergeCell ref="CXY50:CYO50"/>
    <mergeCell ref="CYP50:CZF50"/>
    <mergeCell ref="DOY50:DPO50"/>
    <mergeCell ref="DPP50:DQF50"/>
    <mergeCell ref="DQG50:DQW50"/>
    <mergeCell ref="DQX50:DRN50"/>
    <mergeCell ref="DRO50:DSE50"/>
    <mergeCell ref="DSF50:DSV50"/>
    <mergeCell ref="DLA50:DLQ50"/>
    <mergeCell ref="DLR50:DMH50"/>
    <mergeCell ref="DMI50:DMY50"/>
    <mergeCell ref="DMZ50:DNP50"/>
    <mergeCell ref="DNQ50:DOG50"/>
    <mergeCell ref="DOH50:DOX50"/>
    <mergeCell ref="DHC50:DHS50"/>
    <mergeCell ref="DHT50:DIJ50"/>
    <mergeCell ref="DIK50:DJA50"/>
    <mergeCell ref="DJB50:DJR50"/>
    <mergeCell ref="DJS50:DKI50"/>
    <mergeCell ref="DKJ50:DKZ50"/>
    <mergeCell ref="EAS50:EBI50"/>
    <mergeCell ref="EBJ50:EBZ50"/>
    <mergeCell ref="ECA50:ECQ50"/>
    <mergeCell ref="ECR50:EDH50"/>
    <mergeCell ref="EDI50:EDY50"/>
    <mergeCell ref="EDZ50:EEP50"/>
    <mergeCell ref="DWU50:DXK50"/>
    <mergeCell ref="DXL50:DYB50"/>
    <mergeCell ref="DYC50:DYS50"/>
    <mergeCell ref="DYT50:DZJ50"/>
    <mergeCell ref="DZK50:EAA50"/>
    <mergeCell ref="EAB50:EAR50"/>
    <mergeCell ref="DSW50:DTM50"/>
    <mergeCell ref="DTN50:DUD50"/>
    <mergeCell ref="DUE50:DUU50"/>
    <mergeCell ref="DUV50:DVL50"/>
    <mergeCell ref="DVM50:DWC50"/>
    <mergeCell ref="DWD50:DWT50"/>
    <mergeCell ref="EMM50:ENC50"/>
    <mergeCell ref="END50:ENT50"/>
    <mergeCell ref="ENU50:EOK50"/>
    <mergeCell ref="EOL50:EPB50"/>
    <mergeCell ref="EPC50:EPS50"/>
    <mergeCell ref="EPT50:EQJ50"/>
    <mergeCell ref="EIO50:EJE50"/>
    <mergeCell ref="EJF50:EJV50"/>
    <mergeCell ref="EJW50:EKM50"/>
    <mergeCell ref="EKN50:ELD50"/>
    <mergeCell ref="ELE50:ELU50"/>
    <mergeCell ref="ELV50:EML50"/>
    <mergeCell ref="EEQ50:EFG50"/>
    <mergeCell ref="EFH50:EFX50"/>
    <mergeCell ref="EFY50:EGO50"/>
    <mergeCell ref="EGP50:EHF50"/>
    <mergeCell ref="EHG50:EHW50"/>
    <mergeCell ref="EHX50:EIN50"/>
    <mergeCell ref="EYG50:EYW50"/>
    <mergeCell ref="EYX50:EZN50"/>
    <mergeCell ref="EZO50:FAE50"/>
    <mergeCell ref="FAF50:FAV50"/>
    <mergeCell ref="FAW50:FBM50"/>
    <mergeCell ref="FBN50:FCD50"/>
    <mergeCell ref="EUI50:EUY50"/>
    <mergeCell ref="EUZ50:EVP50"/>
    <mergeCell ref="EVQ50:EWG50"/>
    <mergeCell ref="EWH50:EWX50"/>
    <mergeCell ref="EWY50:EXO50"/>
    <mergeCell ref="EXP50:EYF50"/>
    <mergeCell ref="EQK50:ERA50"/>
    <mergeCell ref="ERB50:ERR50"/>
    <mergeCell ref="ERS50:ESI50"/>
    <mergeCell ref="ESJ50:ESZ50"/>
    <mergeCell ref="ETA50:ETQ50"/>
    <mergeCell ref="ETR50:EUH50"/>
    <mergeCell ref="FKA50:FKQ50"/>
    <mergeCell ref="FKR50:FLH50"/>
    <mergeCell ref="FLI50:FLY50"/>
    <mergeCell ref="FLZ50:FMP50"/>
    <mergeCell ref="FMQ50:FNG50"/>
    <mergeCell ref="FNH50:FNX50"/>
    <mergeCell ref="FGC50:FGS50"/>
    <mergeCell ref="FGT50:FHJ50"/>
    <mergeCell ref="FHK50:FIA50"/>
    <mergeCell ref="FIB50:FIR50"/>
    <mergeCell ref="FIS50:FJI50"/>
    <mergeCell ref="FJJ50:FJZ50"/>
    <mergeCell ref="FCE50:FCU50"/>
    <mergeCell ref="FCV50:FDL50"/>
    <mergeCell ref="FDM50:FEC50"/>
    <mergeCell ref="FED50:FET50"/>
    <mergeCell ref="FEU50:FFK50"/>
    <mergeCell ref="FFL50:FGB50"/>
    <mergeCell ref="FVU50:FWK50"/>
    <mergeCell ref="FWL50:FXB50"/>
    <mergeCell ref="FXC50:FXS50"/>
    <mergeCell ref="FXT50:FYJ50"/>
    <mergeCell ref="FYK50:FZA50"/>
    <mergeCell ref="FZB50:FZR50"/>
    <mergeCell ref="FRW50:FSM50"/>
    <mergeCell ref="FSN50:FTD50"/>
    <mergeCell ref="FTE50:FTU50"/>
    <mergeCell ref="FTV50:FUL50"/>
    <mergeCell ref="FUM50:FVC50"/>
    <mergeCell ref="FVD50:FVT50"/>
    <mergeCell ref="FNY50:FOO50"/>
    <mergeCell ref="FOP50:FPF50"/>
    <mergeCell ref="FPG50:FPW50"/>
    <mergeCell ref="FPX50:FQN50"/>
    <mergeCell ref="FQO50:FRE50"/>
    <mergeCell ref="FRF50:FRV50"/>
    <mergeCell ref="GHO50:GIE50"/>
    <mergeCell ref="GIF50:GIV50"/>
    <mergeCell ref="GIW50:GJM50"/>
    <mergeCell ref="GJN50:GKD50"/>
    <mergeCell ref="GKE50:GKU50"/>
    <mergeCell ref="GKV50:GLL50"/>
    <mergeCell ref="GDQ50:GEG50"/>
    <mergeCell ref="GEH50:GEX50"/>
    <mergeCell ref="GEY50:GFO50"/>
    <mergeCell ref="GFP50:GGF50"/>
    <mergeCell ref="GGG50:GGW50"/>
    <mergeCell ref="GGX50:GHN50"/>
    <mergeCell ref="FZS50:GAI50"/>
    <mergeCell ref="GAJ50:GAZ50"/>
    <mergeCell ref="GBA50:GBQ50"/>
    <mergeCell ref="GBR50:GCH50"/>
    <mergeCell ref="GCI50:GCY50"/>
    <mergeCell ref="GCZ50:GDP50"/>
    <mergeCell ref="GTI50:GTY50"/>
    <mergeCell ref="GTZ50:GUP50"/>
    <mergeCell ref="GUQ50:GVG50"/>
    <mergeCell ref="GVH50:GVX50"/>
    <mergeCell ref="GVY50:GWO50"/>
    <mergeCell ref="GWP50:GXF50"/>
    <mergeCell ref="GPK50:GQA50"/>
    <mergeCell ref="GQB50:GQR50"/>
    <mergeCell ref="GQS50:GRI50"/>
    <mergeCell ref="GRJ50:GRZ50"/>
    <mergeCell ref="GSA50:GSQ50"/>
    <mergeCell ref="GSR50:GTH50"/>
    <mergeCell ref="GLM50:GMC50"/>
    <mergeCell ref="GMD50:GMT50"/>
    <mergeCell ref="GMU50:GNK50"/>
    <mergeCell ref="GNL50:GOB50"/>
    <mergeCell ref="GOC50:GOS50"/>
    <mergeCell ref="GOT50:GPJ50"/>
    <mergeCell ref="HFC50:HFS50"/>
    <mergeCell ref="HFT50:HGJ50"/>
    <mergeCell ref="HGK50:HHA50"/>
    <mergeCell ref="HHB50:HHR50"/>
    <mergeCell ref="HHS50:HII50"/>
    <mergeCell ref="HIJ50:HIZ50"/>
    <mergeCell ref="HBE50:HBU50"/>
    <mergeCell ref="HBV50:HCL50"/>
    <mergeCell ref="HCM50:HDC50"/>
    <mergeCell ref="HDD50:HDT50"/>
    <mergeCell ref="HDU50:HEK50"/>
    <mergeCell ref="HEL50:HFB50"/>
    <mergeCell ref="GXG50:GXW50"/>
    <mergeCell ref="GXX50:GYN50"/>
    <mergeCell ref="GYO50:GZE50"/>
    <mergeCell ref="GZF50:GZV50"/>
    <mergeCell ref="GZW50:HAM50"/>
    <mergeCell ref="HAN50:HBD50"/>
    <mergeCell ref="HQW50:HRM50"/>
    <mergeCell ref="HRN50:HSD50"/>
    <mergeCell ref="HSE50:HSU50"/>
    <mergeCell ref="HSV50:HTL50"/>
    <mergeCell ref="HTM50:HUC50"/>
    <mergeCell ref="HUD50:HUT50"/>
    <mergeCell ref="HMY50:HNO50"/>
    <mergeCell ref="HNP50:HOF50"/>
    <mergeCell ref="HOG50:HOW50"/>
    <mergeCell ref="HOX50:HPN50"/>
    <mergeCell ref="HPO50:HQE50"/>
    <mergeCell ref="HQF50:HQV50"/>
    <mergeCell ref="HJA50:HJQ50"/>
    <mergeCell ref="HJR50:HKH50"/>
    <mergeCell ref="HKI50:HKY50"/>
    <mergeCell ref="HKZ50:HLP50"/>
    <mergeCell ref="HLQ50:HMG50"/>
    <mergeCell ref="HMH50:HMX50"/>
    <mergeCell ref="ICQ50:IDG50"/>
    <mergeCell ref="IDH50:IDX50"/>
    <mergeCell ref="IDY50:IEO50"/>
    <mergeCell ref="IEP50:IFF50"/>
    <mergeCell ref="IFG50:IFW50"/>
    <mergeCell ref="IFX50:IGN50"/>
    <mergeCell ref="HYS50:HZI50"/>
    <mergeCell ref="HZJ50:HZZ50"/>
    <mergeCell ref="IAA50:IAQ50"/>
    <mergeCell ref="IAR50:IBH50"/>
    <mergeCell ref="IBI50:IBY50"/>
    <mergeCell ref="IBZ50:ICP50"/>
    <mergeCell ref="HUU50:HVK50"/>
    <mergeCell ref="HVL50:HWB50"/>
    <mergeCell ref="HWC50:HWS50"/>
    <mergeCell ref="HWT50:HXJ50"/>
    <mergeCell ref="HXK50:HYA50"/>
    <mergeCell ref="HYB50:HYR50"/>
    <mergeCell ref="IOK50:IPA50"/>
    <mergeCell ref="IPB50:IPR50"/>
    <mergeCell ref="IPS50:IQI50"/>
    <mergeCell ref="IQJ50:IQZ50"/>
    <mergeCell ref="IRA50:IRQ50"/>
    <mergeCell ref="IRR50:ISH50"/>
    <mergeCell ref="IKM50:ILC50"/>
    <mergeCell ref="ILD50:ILT50"/>
    <mergeCell ref="ILU50:IMK50"/>
    <mergeCell ref="IML50:INB50"/>
    <mergeCell ref="INC50:INS50"/>
    <mergeCell ref="INT50:IOJ50"/>
    <mergeCell ref="IGO50:IHE50"/>
    <mergeCell ref="IHF50:IHV50"/>
    <mergeCell ref="IHW50:IIM50"/>
    <mergeCell ref="IIN50:IJD50"/>
    <mergeCell ref="IJE50:IJU50"/>
    <mergeCell ref="IJV50:IKL50"/>
    <mergeCell ref="JAE50:JAU50"/>
    <mergeCell ref="JAV50:JBL50"/>
    <mergeCell ref="JBM50:JCC50"/>
    <mergeCell ref="JCD50:JCT50"/>
    <mergeCell ref="JCU50:JDK50"/>
    <mergeCell ref="JDL50:JEB50"/>
    <mergeCell ref="IWG50:IWW50"/>
    <mergeCell ref="IWX50:IXN50"/>
    <mergeCell ref="IXO50:IYE50"/>
    <mergeCell ref="IYF50:IYV50"/>
    <mergeCell ref="IYW50:IZM50"/>
    <mergeCell ref="IZN50:JAD50"/>
    <mergeCell ref="ISI50:ISY50"/>
    <mergeCell ref="ISZ50:ITP50"/>
    <mergeCell ref="ITQ50:IUG50"/>
    <mergeCell ref="IUH50:IUX50"/>
    <mergeCell ref="IUY50:IVO50"/>
    <mergeCell ref="IVP50:IWF50"/>
    <mergeCell ref="JLY50:JMO50"/>
    <mergeCell ref="JMP50:JNF50"/>
    <mergeCell ref="JNG50:JNW50"/>
    <mergeCell ref="JNX50:JON50"/>
    <mergeCell ref="JOO50:JPE50"/>
    <mergeCell ref="JPF50:JPV50"/>
    <mergeCell ref="JIA50:JIQ50"/>
    <mergeCell ref="JIR50:JJH50"/>
    <mergeCell ref="JJI50:JJY50"/>
    <mergeCell ref="JJZ50:JKP50"/>
    <mergeCell ref="JKQ50:JLG50"/>
    <mergeCell ref="JLH50:JLX50"/>
    <mergeCell ref="JEC50:JES50"/>
    <mergeCell ref="JET50:JFJ50"/>
    <mergeCell ref="JFK50:JGA50"/>
    <mergeCell ref="JGB50:JGR50"/>
    <mergeCell ref="JGS50:JHI50"/>
    <mergeCell ref="JHJ50:JHZ50"/>
    <mergeCell ref="JXS50:JYI50"/>
    <mergeCell ref="JYJ50:JYZ50"/>
    <mergeCell ref="JZA50:JZQ50"/>
    <mergeCell ref="JZR50:KAH50"/>
    <mergeCell ref="KAI50:KAY50"/>
    <mergeCell ref="KAZ50:KBP50"/>
    <mergeCell ref="JTU50:JUK50"/>
    <mergeCell ref="JUL50:JVB50"/>
    <mergeCell ref="JVC50:JVS50"/>
    <mergeCell ref="JVT50:JWJ50"/>
    <mergeCell ref="JWK50:JXA50"/>
    <mergeCell ref="JXB50:JXR50"/>
    <mergeCell ref="JPW50:JQM50"/>
    <mergeCell ref="JQN50:JRD50"/>
    <mergeCell ref="JRE50:JRU50"/>
    <mergeCell ref="JRV50:JSL50"/>
    <mergeCell ref="JSM50:JTC50"/>
    <mergeCell ref="JTD50:JTT50"/>
    <mergeCell ref="KJM50:KKC50"/>
    <mergeCell ref="KKD50:KKT50"/>
    <mergeCell ref="KKU50:KLK50"/>
    <mergeCell ref="KLL50:KMB50"/>
    <mergeCell ref="KMC50:KMS50"/>
    <mergeCell ref="KMT50:KNJ50"/>
    <mergeCell ref="KFO50:KGE50"/>
    <mergeCell ref="KGF50:KGV50"/>
    <mergeCell ref="KGW50:KHM50"/>
    <mergeCell ref="KHN50:KID50"/>
    <mergeCell ref="KIE50:KIU50"/>
    <mergeCell ref="KIV50:KJL50"/>
    <mergeCell ref="KBQ50:KCG50"/>
    <mergeCell ref="KCH50:KCX50"/>
    <mergeCell ref="KCY50:KDO50"/>
    <mergeCell ref="KDP50:KEF50"/>
    <mergeCell ref="KEG50:KEW50"/>
    <mergeCell ref="KEX50:KFN50"/>
    <mergeCell ref="KVG50:KVW50"/>
    <mergeCell ref="KVX50:KWN50"/>
    <mergeCell ref="KWO50:KXE50"/>
    <mergeCell ref="KXF50:KXV50"/>
    <mergeCell ref="KXW50:KYM50"/>
    <mergeCell ref="KYN50:KZD50"/>
    <mergeCell ref="KRI50:KRY50"/>
    <mergeCell ref="KRZ50:KSP50"/>
    <mergeCell ref="KSQ50:KTG50"/>
    <mergeCell ref="KTH50:KTX50"/>
    <mergeCell ref="KTY50:KUO50"/>
    <mergeCell ref="KUP50:KVF50"/>
    <mergeCell ref="KNK50:KOA50"/>
    <mergeCell ref="KOB50:KOR50"/>
    <mergeCell ref="KOS50:KPI50"/>
    <mergeCell ref="KPJ50:KPZ50"/>
    <mergeCell ref="KQA50:KQQ50"/>
    <mergeCell ref="KQR50:KRH50"/>
    <mergeCell ref="LHA50:LHQ50"/>
    <mergeCell ref="LHR50:LIH50"/>
    <mergeCell ref="LII50:LIY50"/>
    <mergeCell ref="LIZ50:LJP50"/>
    <mergeCell ref="LJQ50:LKG50"/>
    <mergeCell ref="LKH50:LKX50"/>
    <mergeCell ref="LDC50:LDS50"/>
    <mergeCell ref="LDT50:LEJ50"/>
    <mergeCell ref="LEK50:LFA50"/>
    <mergeCell ref="LFB50:LFR50"/>
    <mergeCell ref="LFS50:LGI50"/>
    <mergeCell ref="LGJ50:LGZ50"/>
    <mergeCell ref="KZE50:KZU50"/>
    <mergeCell ref="KZV50:LAL50"/>
    <mergeCell ref="LAM50:LBC50"/>
    <mergeCell ref="LBD50:LBT50"/>
    <mergeCell ref="LBU50:LCK50"/>
    <mergeCell ref="LCL50:LDB50"/>
    <mergeCell ref="LSU50:LTK50"/>
    <mergeCell ref="LTL50:LUB50"/>
    <mergeCell ref="LUC50:LUS50"/>
    <mergeCell ref="LUT50:LVJ50"/>
    <mergeCell ref="LVK50:LWA50"/>
    <mergeCell ref="LWB50:LWR50"/>
    <mergeCell ref="LOW50:LPM50"/>
    <mergeCell ref="LPN50:LQD50"/>
    <mergeCell ref="LQE50:LQU50"/>
    <mergeCell ref="LQV50:LRL50"/>
    <mergeCell ref="LRM50:LSC50"/>
    <mergeCell ref="LSD50:LST50"/>
    <mergeCell ref="LKY50:LLO50"/>
    <mergeCell ref="LLP50:LMF50"/>
    <mergeCell ref="LMG50:LMW50"/>
    <mergeCell ref="LMX50:LNN50"/>
    <mergeCell ref="LNO50:LOE50"/>
    <mergeCell ref="LOF50:LOV50"/>
    <mergeCell ref="MEO50:MFE50"/>
    <mergeCell ref="MFF50:MFV50"/>
    <mergeCell ref="MFW50:MGM50"/>
    <mergeCell ref="MGN50:MHD50"/>
    <mergeCell ref="MHE50:MHU50"/>
    <mergeCell ref="MHV50:MIL50"/>
    <mergeCell ref="MAQ50:MBG50"/>
    <mergeCell ref="MBH50:MBX50"/>
    <mergeCell ref="MBY50:MCO50"/>
    <mergeCell ref="MCP50:MDF50"/>
    <mergeCell ref="MDG50:MDW50"/>
    <mergeCell ref="MDX50:MEN50"/>
    <mergeCell ref="LWS50:LXI50"/>
    <mergeCell ref="LXJ50:LXZ50"/>
    <mergeCell ref="LYA50:LYQ50"/>
    <mergeCell ref="LYR50:LZH50"/>
    <mergeCell ref="LZI50:LZY50"/>
    <mergeCell ref="LZZ50:MAP50"/>
    <mergeCell ref="MQI50:MQY50"/>
    <mergeCell ref="MQZ50:MRP50"/>
    <mergeCell ref="MRQ50:MSG50"/>
    <mergeCell ref="MSH50:MSX50"/>
    <mergeCell ref="MSY50:MTO50"/>
    <mergeCell ref="MTP50:MUF50"/>
    <mergeCell ref="MMK50:MNA50"/>
    <mergeCell ref="MNB50:MNR50"/>
    <mergeCell ref="MNS50:MOI50"/>
    <mergeCell ref="MOJ50:MOZ50"/>
    <mergeCell ref="MPA50:MPQ50"/>
    <mergeCell ref="MPR50:MQH50"/>
    <mergeCell ref="MIM50:MJC50"/>
    <mergeCell ref="MJD50:MJT50"/>
    <mergeCell ref="MJU50:MKK50"/>
    <mergeCell ref="MKL50:MLB50"/>
    <mergeCell ref="MLC50:MLS50"/>
    <mergeCell ref="MLT50:MMJ50"/>
    <mergeCell ref="NCC50:NCS50"/>
    <mergeCell ref="NCT50:NDJ50"/>
    <mergeCell ref="NDK50:NEA50"/>
    <mergeCell ref="NEB50:NER50"/>
    <mergeCell ref="NES50:NFI50"/>
    <mergeCell ref="NFJ50:NFZ50"/>
    <mergeCell ref="MYE50:MYU50"/>
    <mergeCell ref="MYV50:MZL50"/>
    <mergeCell ref="MZM50:NAC50"/>
    <mergeCell ref="NAD50:NAT50"/>
    <mergeCell ref="NAU50:NBK50"/>
    <mergeCell ref="NBL50:NCB50"/>
    <mergeCell ref="MUG50:MUW50"/>
    <mergeCell ref="MUX50:MVN50"/>
    <mergeCell ref="MVO50:MWE50"/>
    <mergeCell ref="MWF50:MWV50"/>
    <mergeCell ref="MWW50:MXM50"/>
    <mergeCell ref="MXN50:MYD50"/>
    <mergeCell ref="NNW50:NOM50"/>
    <mergeCell ref="NON50:NPD50"/>
    <mergeCell ref="NPE50:NPU50"/>
    <mergeCell ref="NPV50:NQL50"/>
    <mergeCell ref="NQM50:NRC50"/>
    <mergeCell ref="NRD50:NRT50"/>
    <mergeCell ref="NJY50:NKO50"/>
    <mergeCell ref="NKP50:NLF50"/>
    <mergeCell ref="NLG50:NLW50"/>
    <mergeCell ref="NLX50:NMN50"/>
    <mergeCell ref="NMO50:NNE50"/>
    <mergeCell ref="NNF50:NNV50"/>
    <mergeCell ref="NGA50:NGQ50"/>
    <mergeCell ref="NGR50:NHH50"/>
    <mergeCell ref="NHI50:NHY50"/>
    <mergeCell ref="NHZ50:NIP50"/>
    <mergeCell ref="NIQ50:NJG50"/>
    <mergeCell ref="NJH50:NJX50"/>
    <mergeCell ref="NZQ50:OAG50"/>
    <mergeCell ref="OAH50:OAX50"/>
    <mergeCell ref="OAY50:OBO50"/>
    <mergeCell ref="OBP50:OCF50"/>
    <mergeCell ref="OCG50:OCW50"/>
    <mergeCell ref="OCX50:ODN50"/>
    <mergeCell ref="NVS50:NWI50"/>
    <mergeCell ref="NWJ50:NWZ50"/>
    <mergeCell ref="NXA50:NXQ50"/>
    <mergeCell ref="NXR50:NYH50"/>
    <mergeCell ref="NYI50:NYY50"/>
    <mergeCell ref="NYZ50:NZP50"/>
    <mergeCell ref="NRU50:NSK50"/>
    <mergeCell ref="NSL50:NTB50"/>
    <mergeCell ref="NTC50:NTS50"/>
    <mergeCell ref="NTT50:NUJ50"/>
    <mergeCell ref="NUK50:NVA50"/>
    <mergeCell ref="NVB50:NVR50"/>
    <mergeCell ref="OLK50:OMA50"/>
    <mergeCell ref="OMB50:OMR50"/>
    <mergeCell ref="OMS50:ONI50"/>
    <mergeCell ref="ONJ50:ONZ50"/>
    <mergeCell ref="OOA50:OOQ50"/>
    <mergeCell ref="OOR50:OPH50"/>
    <mergeCell ref="OHM50:OIC50"/>
    <mergeCell ref="OID50:OIT50"/>
    <mergeCell ref="OIU50:OJK50"/>
    <mergeCell ref="OJL50:OKB50"/>
    <mergeCell ref="OKC50:OKS50"/>
    <mergeCell ref="OKT50:OLJ50"/>
    <mergeCell ref="ODO50:OEE50"/>
    <mergeCell ref="OEF50:OEV50"/>
    <mergeCell ref="OEW50:OFM50"/>
    <mergeCell ref="OFN50:OGD50"/>
    <mergeCell ref="OGE50:OGU50"/>
    <mergeCell ref="OGV50:OHL50"/>
    <mergeCell ref="OXE50:OXU50"/>
    <mergeCell ref="OXV50:OYL50"/>
    <mergeCell ref="OYM50:OZC50"/>
    <mergeCell ref="OZD50:OZT50"/>
    <mergeCell ref="OZU50:PAK50"/>
    <mergeCell ref="PAL50:PBB50"/>
    <mergeCell ref="OTG50:OTW50"/>
    <mergeCell ref="OTX50:OUN50"/>
    <mergeCell ref="OUO50:OVE50"/>
    <mergeCell ref="OVF50:OVV50"/>
    <mergeCell ref="OVW50:OWM50"/>
    <mergeCell ref="OWN50:OXD50"/>
    <mergeCell ref="OPI50:OPY50"/>
    <mergeCell ref="OPZ50:OQP50"/>
    <mergeCell ref="OQQ50:ORG50"/>
    <mergeCell ref="ORH50:ORX50"/>
    <mergeCell ref="ORY50:OSO50"/>
    <mergeCell ref="OSP50:OTF50"/>
    <mergeCell ref="PIY50:PJO50"/>
    <mergeCell ref="PJP50:PKF50"/>
    <mergeCell ref="PKG50:PKW50"/>
    <mergeCell ref="PKX50:PLN50"/>
    <mergeCell ref="PLO50:PME50"/>
    <mergeCell ref="PMF50:PMV50"/>
    <mergeCell ref="PFA50:PFQ50"/>
    <mergeCell ref="PFR50:PGH50"/>
    <mergeCell ref="PGI50:PGY50"/>
    <mergeCell ref="PGZ50:PHP50"/>
    <mergeCell ref="PHQ50:PIG50"/>
    <mergeCell ref="PIH50:PIX50"/>
    <mergeCell ref="PBC50:PBS50"/>
    <mergeCell ref="PBT50:PCJ50"/>
    <mergeCell ref="PCK50:PDA50"/>
    <mergeCell ref="PDB50:PDR50"/>
    <mergeCell ref="PDS50:PEI50"/>
    <mergeCell ref="PEJ50:PEZ50"/>
    <mergeCell ref="PUS50:PVI50"/>
    <mergeCell ref="PVJ50:PVZ50"/>
    <mergeCell ref="PWA50:PWQ50"/>
    <mergeCell ref="PWR50:PXH50"/>
    <mergeCell ref="PXI50:PXY50"/>
    <mergeCell ref="PXZ50:PYP50"/>
    <mergeCell ref="PQU50:PRK50"/>
    <mergeCell ref="PRL50:PSB50"/>
    <mergeCell ref="PSC50:PSS50"/>
    <mergeCell ref="PST50:PTJ50"/>
    <mergeCell ref="PTK50:PUA50"/>
    <mergeCell ref="PUB50:PUR50"/>
    <mergeCell ref="PMW50:PNM50"/>
    <mergeCell ref="PNN50:POD50"/>
    <mergeCell ref="POE50:POU50"/>
    <mergeCell ref="POV50:PPL50"/>
    <mergeCell ref="PPM50:PQC50"/>
    <mergeCell ref="PQD50:PQT50"/>
    <mergeCell ref="QGM50:QHC50"/>
    <mergeCell ref="QHD50:QHT50"/>
    <mergeCell ref="QHU50:QIK50"/>
    <mergeCell ref="QIL50:QJB50"/>
    <mergeCell ref="QJC50:QJS50"/>
    <mergeCell ref="QJT50:QKJ50"/>
    <mergeCell ref="QCO50:QDE50"/>
    <mergeCell ref="QDF50:QDV50"/>
    <mergeCell ref="QDW50:QEM50"/>
    <mergeCell ref="QEN50:QFD50"/>
    <mergeCell ref="QFE50:QFU50"/>
    <mergeCell ref="QFV50:QGL50"/>
    <mergeCell ref="PYQ50:PZG50"/>
    <mergeCell ref="PZH50:PZX50"/>
    <mergeCell ref="PZY50:QAO50"/>
    <mergeCell ref="QAP50:QBF50"/>
    <mergeCell ref="QBG50:QBW50"/>
    <mergeCell ref="QBX50:QCN50"/>
    <mergeCell ref="QSG50:QSW50"/>
    <mergeCell ref="QSX50:QTN50"/>
    <mergeCell ref="QTO50:QUE50"/>
    <mergeCell ref="QUF50:QUV50"/>
    <mergeCell ref="QUW50:QVM50"/>
    <mergeCell ref="QVN50:QWD50"/>
    <mergeCell ref="QOI50:QOY50"/>
    <mergeCell ref="QOZ50:QPP50"/>
    <mergeCell ref="QPQ50:QQG50"/>
    <mergeCell ref="QQH50:QQX50"/>
    <mergeCell ref="QQY50:QRO50"/>
    <mergeCell ref="QRP50:QSF50"/>
    <mergeCell ref="QKK50:QLA50"/>
    <mergeCell ref="QLB50:QLR50"/>
    <mergeCell ref="QLS50:QMI50"/>
    <mergeCell ref="QMJ50:QMZ50"/>
    <mergeCell ref="QNA50:QNQ50"/>
    <mergeCell ref="QNR50:QOH50"/>
    <mergeCell ref="REA50:REQ50"/>
    <mergeCell ref="RER50:RFH50"/>
    <mergeCell ref="RFI50:RFY50"/>
    <mergeCell ref="RFZ50:RGP50"/>
    <mergeCell ref="RGQ50:RHG50"/>
    <mergeCell ref="RHH50:RHX50"/>
    <mergeCell ref="RAC50:RAS50"/>
    <mergeCell ref="RAT50:RBJ50"/>
    <mergeCell ref="RBK50:RCA50"/>
    <mergeCell ref="RCB50:RCR50"/>
    <mergeCell ref="RCS50:RDI50"/>
    <mergeCell ref="RDJ50:RDZ50"/>
    <mergeCell ref="QWE50:QWU50"/>
    <mergeCell ref="QWV50:QXL50"/>
    <mergeCell ref="QXM50:QYC50"/>
    <mergeCell ref="QYD50:QYT50"/>
    <mergeCell ref="QYU50:QZK50"/>
    <mergeCell ref="QZL50:RAB50"/>
    <mergeCell ref="RPU50:RQK50"/>
    <mergeCell ref="RQL50:RRB50"/>
    <mergeCell ref="RRC50:RRS50"/>
    <mergeCell ref="RRT50:RSJ50"/>
    <mergeCell ref="RSK50:RTA50"/>
    <mergeCell ref="RTB50:RTR50"/>
    <mergeCell ref="RLW50:RMM50"/>
    <mergeCell ref="RMN50:RND50"/>
    <mergeCell ref="RNE50:RNU50"/>
    <mergeCell ref="RNV50:ROL50"/>
    <mergeCell ref="ROM50:RPC50"/>
    <mergeCell ref="RPD50:RPT50"/>
    <mergeCell ref="RHY50:RIO50"/>
    <mergeCell ref="RIP50:RJF50"/>
    <mergeCell ref="RJG50:RJW50"/>
    <mergeCell ref="RJX50:RKN50"/>
    <mergeCell ref="RKO50:RLE50"/>
    <mergeCell ref="RLF50:RLV50"/>
    <mergeCell ref="SBO50:SCE50"/>
    <mergeCell ref="SCF50:SCV50"/>
    <mergeCell ref="SCW50:SDM50"/>
    <mergeCell ref="SDN50:SED50"/>
    <mergeCell ref="SEE50:SEU50"/>
    <mergeCell ref="SEV50:SFL50"/>
    <mergeCell ref="RXQ50:RYG50"/>
    <mergeCell ref="RYH50:RYX50"/>
    <mergeCell ref="RYY50:RZO50"/>
    <mergeCell ref="RZP50:SAF50"/>
    <mergeCell ref="SAG50:SAW50"/>
    <mergeCell ref="SAX50:SBN50"/>
    <mergeCell ref="RTS50:RUI50"/>
    <mergeCell ref="RUJ50:RUZ50"/>
    <mergeCell ref="RVA50:RVQ50"/>
    <mergeCell ref="RVR50:RWH50"/>
    <mergeCell ref="RWI50:RWY50"/>
    <mergeCell ref="RWZ50:RXP50"/>
    <mergeCell ref="SNI50:SNY50"/>
    <mergeCell ref="SNZ50:SOP50"/>
    <mergeCell ref="SOQ50:SPG50"/>
    <mergeCell ref="SPH50:SPX50"/>
    <mergeCell ref="SPY50:SQO50"/>
    <mergeCell ref="SQP50:SRF50"/>
    <mergeCell ref="SJK50:SKA50"/>
    <mergeCell ref="SKB50:SKR50"/>
    <mergeCell ref="SKS50:SLI50"/>
    <mergeCell ref="SLJ50:SLZ50"/>
    <mergeCell ref="SMA50:SMQ50"/>
    <mergeCell ref="SMR50:SNH50"/>
    <mergeCell ref="SFM50:SGC50"/>
    <mergeCell ref="SGD50:SGT50"/>
    <mergeCell ref="SGU50:SHK50"/>
    <mergeCell ref="SHL50:SIB50"/>
    <mergeCell ref="SIC50:SIS50"/>
    <mergeCell ref="SIT50:SJJ50"/>
    <mergeCell ref="SZC50:SZS50"/>
    <mergeCell ref="SZT50:TAJ50"/>
    <mergeCell ref="TAK50:TBA50"/>
    <mergeCell ref="TBB50:TBR50"/>
    <mergeCell ref="TBS50:TCI50"/>
    <mergeCell ref="TCJ50:TCZ50"/>
    <mergeCell ref="SVE50:SVU50"/>
    <mergeCell ref="SVV50:SWL50"/>
    <mergeCell ref="SWM50:SXC50"/>
    <mergeCell ref="SXD50:SXT50"/>
    <mergeCell ref="SXU50:SYK50"/>
    <mergeCell ref="SYL50:SZB50"/>
    <mergeCell ref="SRG50:SRW50"/>
    <mergeCell ref="SRX50:SSN50"/>
    <mergeCell ref="SSO50:STE50"/>
    <mergeCell ref="STF50:STV50"/>
    <mergeCell ref="STW50:SUM50"/>
    <mergeCell ref="SUN50:SVD50"/>
    <mergeCell ref="TKW50:TLM50"/>
    <mergeCell ref="TLN50:TMD50"/>
    <mergeCell ref="TME50:TMU50"/>
    <mergeCell ref="TMV50:TNL50"/>
    <mergeCell ref="TNM50:TOC50"/>
    <mergeCell ref="TOD50:TOT50"/>
    <mergeCell ref="TGY50:THO50"/>
    <mergeCell ref="THP50:TIF50"/>
    <mergeCell ref="TIG50:TIW50"/>
    <mergeCell ref="TIX50:TJN50"/>
    <mergeCell ref="TJO50:TKE50"/>
    <mergeCell ref="TKF50:TKV50"/>
    <mergeCell ref="TDA50:TDQ50"/>
    <mergeCell ref="TDR50:TEH50"/>
    <mergeCell ref="TEI50:TEY50"/>
    <mergeCell ref="TEZ50:TFP50"/>
    <mergeCell ref="TFQ50:TGG50"/>
    <mergeCell ref="TGH50:TGX50"/>
    <mergeCell ref="TWQ50:TXG50"/>
    <mergeCell ref="TXH50:TXX50"/>
    <mergeCell ref="TXY50:TYO50"/>
    <mergeCell ref="TYP50:TZF50"/>
    <mergeCell ref="TZG50:TZW50"/>
    <mergeCell ref="TZX50:UAN50"/>
    <mergeCell ref="TSS50:TTI50"/>
    <mergeCell ref="TTJ50:TTZ50"/>
    <mergeCell ref="TUA50:TUQ50"/>
    <mergeCell ref="TUR50:TVH50"/>
    <mergeCell ref="TVI50:TVY50"/>
    <mergeCell ref="TVZ50:TWP50"/>
    <mergeCell ref="TOU50:TPK50"/>
    <mergeCell ref="TPL50:TQB50"/>
    <mergeCell ref="TQC50:TQS50"/>
    <mergeCell ref="TQT50:TRJ50"/>
    <mergeCell ref="TRK50:TSA50"/>
    <mergeCell ref="TSB50:TSR50"/>
    <mergeCell ref="UIK50:UJA50"/>
    <mergeCell ref="UJB50:UJR50"/>
    <mergeCell ref="UJS50:UKI50"/>
    <mergeCell ref="UKJ50:UKZ50"/>
    <mergeCell ref="ULA50:ULQ50"/>
    <mergeCell ref="ULR50:UMH50"/>
    <mergeCell ref="UEM50:UFC50"/>
    <mergeCell ref="UFD50:UFT50"/>
    <mergeCell ref="UFU50:UGK50"/>
    <mergeCell ref="UGL50:UHB50"/>
    <mergeCell ref="UHC50:UHS50"/>
    <mergeCell ref="UHT50:UIJ50"/>
    <mergeCell ref="UAO50:UBE50"/>
    <mergeCell ref="UBF50:UBV50"/>
    <mergeCell ref="UBW50:UCM50"/>
    <mergeCell ref="UCN50:UDD50"/>
    <mergeCell ref="UDE50:UDU50"/>
    <mergeCell ref="UDV50:UEL50"/>
    <mergeCell ref="UUE50:UUU50"/>
    <mergeCell ref="UUV50:UVL50"/>
    <mergeCell ref="UVM50:UWC50"/>
    <mergeCell ref="UWD50:UWT50"/>
    <mergeCell ref="UWU50:UXK50"/>
    <mergeCell ref="UXL50:UYB50"/>
    <mergeCell ref="UQG50:UQW50"/>
    <mergeCell ref="UQX50:URN50"/>
    <mergeCell ref="URO50:USE50"/>
    <mergeCell ref="USF50:USV50"/>
    <mergeCell ref="USW50:UTM50"/>
    <mergeCell ref="UTN50:UUD50"/>
    <mergeCell ref="UMI50:UMY50"/>
    <mergeCell ref="UMZ50:UNP50"/>
    <mergeCell ref="UNQ50:UOG50"/>
    <mergeCell ref="UOH50:UOX50"/>
    <mergeCell ref="UOY50:UPO50"/>
    <mergeCell ref="UPP50:UQF50"/>
    <mergeCell ref="VFY50:VGO50"/>
    <mergeCell ref="VGP50:VHF50"/>
    <mergeCell ref="VHG50:VHW50"/>
    <mergeCell ref="VHX50:VIN50"/>
    <mergeCell ref="VIO50:VJE50"/>
    <mergeCell ref="VJF50:VJV50"/>
    <mergeCell ref="VCA50:VCQ50"/>
    <mergeCell ref="VCR50:VDH50"/>
    <mergeCell ref="VDI50:VDY50"/>
    <mergeCell ref="VDZ50:VEP50"/>
    <mergeCell ref="VEQ50:VFG50"/>
    <mergeCell ref="VFH50:VFX50"/>
    <mergeCell ref="UYC50:UYS50"/>
    <mergeCell ref="UYT50:UZJ50"/>
    <mergeCell ref="UZK50:VAA50"/>
    <mergeCell ref="VAB50:VAR50"/>
    <mergeCell ref="VAS50:VBI50"/>
    <mergeCell ref="VBJ50:VBZ50"/>
    <mergeCell ref="VRS50:VSI50"/>
    <mergeCell ref="VSJ50:VSZ50"/>
    <mergeCell ref="VTA50:VTQ50"/>
    <mergeCell ref="VTR50:VUH50"/>
    <mergeCell ref="VUI50:VUY50"/>
    <mergeCell ref="VUZ50:VVP50"/>
    <mergeCell ref="VNU50:VOK50"/>
    <mergeCell ref="VOL50:VPB50"/>
    <mergeCell ref="VPC50:VPS50"/>
    <mergeCell ref="VPT50:VQJ50"/>
    <mergeCell ref="VQK50:VRA50"/>
    <mergeCell ref="VRB50:VRR50"/>
    <mergeCell ref="VJW50:VKM50"/>
    <mergeCell ref="VKN50:VLD50"/>
    <mergeCell ref="VLE50:VLU50"/>
    <mergeCell ref="VLV50:VML50"/>
    <mergeCell ref="VMM50:VNC50"/>
    <mergeCell ref="VND50:VNT50"/>
    <mergeCell ref="WIS50:WJI50"/>
    <mergeCell ref="WJJ50:WJZ50"/>
    <mergeCell ref="WKA50:WKQ50"/>
    <mergeCell ref="WKR50:WLH50"/>
    <mergeCell ref="WDM50:WEC50"/>
    <mergeCell ref="WED50:WET50"/>
    <mergeCell ref="WEU50:WFK50"/>
    <mergeCell ref="WFL50:WGB50"/>
    <mergeCell ref="WGC50:WGS50"/>
    <mergeCell ref="WGT50:WHJ50"/>
    <mergeCell ref="VZO50:WAE50"/>
    <mergeCell ref="WAF50:WAV50"/>
    <mergeCell ref="WAW50:WBM50"/>
    <mergeCell ref="WBN50:WCD50"/>
    <mergeCell ref="WCE50:WCU50"/>
    <mergeCell ref="WCV50:WDL50"/>
    <mergeCell ref="VVQ50:VWG50"/>
    <mergeCell ref="VWH50:VWX50"/>
    <mergeCell ref="VWY50:VXO50"/>
    <mergeCell ref="VXP50:VYF50"/>
    <mergeCell ref="VYG50:VYW50"/>
    <mergeCell ref="VYX50:VZN50"/>
    <mergeCell ref="XBA50:XBQ50"/>
    <mergeCell ref="XBR50:XCH50"/>
    <mergeCell ref="XCI50:XCY50"/>
    <mergeCell ref="XCZ50:XDP50"/>
    <mergeCell ref="XDQ50:XEC50"/>
    <mergeCell ref="A53:N53"/>
    <mergeCell ref="WXC50:WXS50"/>
    <mergeCell ref="WXT50:WYJ50"/>
    <mergeCell ref="WYK50:WZA50"/>
    <mergeCell ref="WZB50:WZR50"/>
    <mergeCell ref="WZS50:XAI50"/>
    <mergeCell ref="XAJ50:XAZ50"/>
    <mergeCell ref="WTE50:WTU50"/>
    <mergeCell ref="WTV50:WUL50"/>
    <mergeCell ref="WUM50:WVC50"/>
    <mergeCell ref="WVD50:WVT50"/>
    <mergeCell ref="WVU50:WWK50"/>
    <mergeCell ref="WWL50:WXB50"/>
    <mergeCell ref="WPG50:WPW50"/>
    <mergeCell ref="WPX50:WQN50"/>
    <mergeCell ref="WQO50:WRE50"/>
    <mergeCell ref="WRF50:WRV50"/>
    <mergeCell ref="WRW50:WSM50"/>
    <mergeCell ref="WSN50:WTD50"/>
    <mergeCell ref="WLI50:WLY50"/>
    <mergeCell ref="WLZ50:WMP50"/>
    <mergeCell ref="WMQ50:WNG50"/>
    <mergeCell ref="WNH50:WNX50"/>
    <mergeCell ref="WNY50:WOO50"/>
    <mergeCell ref="WOP50:WPF50"/>
    <mergeCell ref="WHK50:WIA50"/>
    <mergeCell ref="WIB50:WIR50"/>
  </mergeCells>
  <pageMargins left="0.70866141732283472" right="0.70866141732283472" top="0.74803149606299213" bottom="0.74803149606299213" header="0.31496062992125984" footer="0.31496062992125984"/>
  <pageSetup paperSize="9" scale="48" orientation="landscape"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56"/>
  <sheetViews>
    <sheetView showGridLines="0" topLeftCell="AC1" zoomScaleNormal="100" zoomScaleSheetLayoutView="85" workbookViewId="0">
      <selection activeCell="AW15" sqref="AW15"/>
    </sheetView>
  </sheetViews>
  <sheetFormatPr defaultColWidth="9" defaultRowHeight="28.5" customHeight="1" outlineLevelRow="1" outlineLevelCol="1"/>
  <cols>
    <col min="1" max="2" width="40.5703125" style="1" customWidth="1"/>
    <col min="3" max="14" width="10.5703125" style="1" customWidth="1" outlineLevel="1"/>
    <col min="15" max="15" width="9" style="1" customWidth="1" outlineLevel="1"/>
    <col min="16" max="17" width="10.5703125" style="1" customWidth="1" outlineLevel="1"/>
    <col min="18" max="20" width="9" style="1" customWidth="1" outlineLevel="1"/>
    <col min="21" max="22" width="10.5703125" style="1" customWidth="1" outlineLevel="1"/>
    <col min="23" max="25" width="9" style="1" customWidth="1" outlineLevel="1"/>
    <col min="26" max="27" width="10.5703125" style="1" customWidth="1" outlineLevel="1"/>
    <col min="28" max="30" width="9" style="1" customWidth="1" outlineLevel="1"/>
    <col min="31" max="32" width="10.5703125" style="1" customWidth="1" outlineLevel="1"/>
    <col min="33" max="35" width="9" style="1"/>
    <col min="36" max="37" width="10.5703125" style="1" customWidth="1"/>
    <col min="38" max="16384" width="9" style="1"/>
  </cols>
  <sheetData>
    <row r="1" spans="1:53" s="9" customFormat="1" ht="89.25" customHeight="1">
      <c r="A1" s="3"/>
      <c r="B1" s="3"/>
      <c r="C1" s="3"/>
      <c r="AM1" s="10"/>
      <c r="AN1" s="10"/>
      <c r="AR1" s="10"/>
      <c r="AS1" s="10"/>
      <c r="AW1" s="10"/>
      <c r="AX1" s="10"/>
    </row>
    <row r="2" spans="1:53" s="33" customFormat="1" ht="12.45" thickBot="1">
      <c r="A2" s="995"/>
      <c r="B2" s="995"/>
      <c r="C2" s="995"/>
      <c r="D2" s="995"/>
      <c r="E2" s="995"/>
      <c r="F2" s="995"/>
      <c r="G2" s="995"/>
      <c r="H2" s="995"/>
      <c r="I2" s="995"/>
      <c r="J2" s="995"/>
      <c r="K2" s="995"/>
      <c r="L2" s="995"/>
      <c r="M2" s="995"/>
      <c r="N2" s="995"/>
      <c r="O2" s="995"/>
      <c r="AK2" s="67"/>
      <c r="AM2" s="1"/>
      <c r="AN2" s="1"/>
      <c r="AR2" s="1"/>
      <c r="AS2" s="1"/>
      <c r="AW2" s="1"/>
      <c r="AX2" s="1"/>
    </row>
    <row r="3" spans="1:53" s="312" customFormat="1" ht="20.149999999999999" customHeight="1">
      <c r="A3" s="177" t="s">
        <v>618</v>
      </c>
      <c r="B3" s="178" t="s">
        <v>619</v>
      </c>
      <c r="C3" s="993">
        <v>2012</v>
      </c>
      <c r="D3" s="994"/>
      <c r="E3" s="994"/>
      <c r="F3" s="994"/>
      <c r="G3" s="996">
        <v>2012</v>
      </c>
      <c r="H3" s="993">
        <v>2013</v>
      </c>
      <c r="I3" s="994"/>
      <c r="J3" s="994"/>
      <c r="K3" s="994"/>
      <c r="L3" s="996">
        <v>2013</v>
      </c>
      <c r="M3" s="993">
        <v>2014</v>
      </c>
      <c r="N3" s="994"/>
      <c r="O3" s="994"/>
      <c r="P3" s="994"/>
      <c r="Q3" s="996">
        <v>2014</v>
      </c>
      <c r="R3" s="993">
        <v>2015</v>
      </c>
      <c r="S3" s="994"/>
      <c r="T3" s="994"/>
      <c r="U3" s="994"/>
      <c r="V3" s="996">
        <v>2015</v>
      </c>
      <c r="W3" s="993">
        <v>2016</v>
      </c>
      <c r="X3" s="994"/>
      <c r="Y3" s="994"/>
      <c r="Z3" s="994"/>
      <c r="AA3" s="996">
        <v>2016</v>
      </c>
      <c r="AB3" s="993">
        <v>2017</v>
      </c>
      <c r="AC3" s="994"/>
      <c r="AD3" s="994"/>
      <c r="AE3" s="994"/>
      <c r="AF3" s="996">
        <v>2017</v>
      </c>
      <c r="AG3" s="993">
        <v>2018</v>
      </c>
      <c r="AH3" s="994"/>
      <c r="AI3" s="994"/>
      <c r="AJ3" s="994"/>
      <c r="AK3" s="996" t="s">
        <v>730</v>
      </c>
      <c r="AL3" s="993">
        <v>2019</v>
      </c>
      <c r="AM3" s="994"/>
      <c r="AN3" s="994"/>
      <c r="AO3" s="994"/>
      <c r="AP3" s="996" t="s">
        <v>27</v>
      </c>
      <c r="AQ3" s="993">
        <v>2020</v>
      </c>
      <c r="AR3" s="994"/>
      <c r="AS3" s="994"/>
      <c r="AT3" s="994"/>
      <c r="AU3" s="996" t="s">
        <v>28</v>
      </c>
      <c r="AV3" s="993">
        <v>2021</v>
      </c>
      <c r="AW3" s="994"/>
      <c r="AX3" s="994"/>
      <c r="AY3" s="994"/>
      <c r="AZ3" s="996" t="s">
        <v>29</v>
      </c>
    </row>
    <row r="4" spans="1:53" s="312" customFormat="1" ht="21.75" customHeight="1" thickBot="1">
      <c r="A4" s="179"/>
      <c r="B4" s="180"/>
      <c r="C4" s="261" t="s">
        <v>620</v>
      </c>
      <c r="D4" s="262" t="s">
        <v>621</v>
      </c>
      <c r="E4" s="262" t="s">
        <v>622</v>
      </c>
      <c r="F4" s="262" t="s">
        <v>623</v>
      </c>
      <c r="G4" s="997"/>
      <c r="H4" s="313" t="s">
        <v>620</v>
      </c>
      <c r="I4" s="314" t="s">
        <v>621</v>
      </c>
      <c r="J4" s="314" t="s">
        <v>622</v>
      </c>
      <c r="K4" s="314" t="s">
        <v>623</v>
      </c>
      <c r="L4" s="997"/>
      <c r="M4" s="313" t="s">
        <v>620</v>
      </c>
      <c r="N4" s="314" t="s">
        <v>621</v>
      </c>
      <c r="O4" s="314" t="s">
        <v>622</v>
      </c>
      <c r="P4" s="314" t="s">
        <v>623</v>
      </c>
      <c r="Q4" s="997"/>
      <c r="R4" s="313" t="s">
        <v>620</v>
      </c>
      <c r="S4" s="314" t="s">
        <v>621</v>
      </c>
      <c r="T4" s="314" t="s">
        <v>622</v>
      </c>
      <c r="U4" s="314" t="s">
        <v>623</v>
      </c>
      <c r="V4" s="997"/>
      <c r="W4" s="313" t="s">
        <v>620</v>
      </c>
      <c r="X4" s="262" t="s">
        <v>621</v>
      </c>
      <c r="Y4" s="262" t="s">
        <v>622</v>
      </c>
      <c r="Z4" s="314" t="s">
        <v>623</v>
      </c>
      <c r="AA4" s="997"/>
      <c r="AB4" s="313" t="s">
        <v>620</v>
      </c>
      <c r="AC4" s="262" t="s">
        <v>621</v>
      </c>
      <c r="AD4" s="262" t="s">
        <v>622</v>
      </c>
      <c r="AE4" s="314" t="s">
        <v>623</v>
      </c>
      <c r="AF4" s="997"/>
      <c r="AG4" s="313" t="s">
        <v>620</v>
      </c>
      <c r="AH4" s="262" t="s">
        <v>731</v>
      </c>
      <c r="AI4" s="262" t="s">
        <v>732</v>
      </c>
      <c r="AJ4" s="314" t="s">
        <v>733</v>
      </c>
      <c r="AK4" s="997"/>
      <c r="AL4" s="313" t="s">
        <v>734</v>
      </c>
      <c r="AM4" s="262" t="s">
        <v>731</v>
      </c>
      <c r="AN4" s="262" t="s">
        <v>732</v>
      </c>
      <c r="AO4" s="314" t="s">
        <v>733</v>
      </c>
      <c r="AP4" s="997"/>
      <c r="AQ4" s="313" t="s">
        <v>734</v>
      </c>
      <c r="AR4" s="262" t="s">
        <v>731</v>
      </c>
      <c r="AS4" s="262" t="s">
        <v>732</v>
      </c>
      <c r="AT4" s="314" t="s">
        <v>733</v>
      </c>
      <c r="AU4" s="997"/>
      <c r="AV4" s="313" t="s">
        <v>734</v>
      </c>
      <c r="AW4" s="262" t="s">
        <v>731</v>
      </c>
      <c r="AX4" s="262" t="s">
        <v>732</v>
      </c>
      <c r="AY4" s="314" t="s">
        <v>733</v>
      </c>
      <c r="AZ4" s="997"/>
    </row>
    <row r="5" spans="1:53" s="4" customFormat="1" ht="20.149999999999999" customHeight="1" thickBot="1">
      <c r="A5" s="175" t="s">
        <v>735</v>
      </c>
      <c r="B5" s="175" t="s">
        <v>736</v>
      </c>
      <c r="C5" s="264" t="s">
        <v>737</v>
      </c>
      <c r="D5" s="265" t="s">
        <v>737</v>
      </c>
      <c r="E5" s="265" t="s">
        <v>737</v>
      </c>
      <c r="F5" s="265" t="s">
        <v>737</v>
      </c>
      <c r="G5" s="266" t="s">
        <v>737</v>
      </c>
      <c r="H5" s="268">
        <f t="shared" ref="H5:AJ5" si="0">H7+H24</f>
        <v>16348336</v>
      </c>
      <c r="I5" s="269">
        <f t="shared" si="0"/>
        <v>16434266</v>
      </c>
      <c r="J5" s="269">
        <f t="shared" si="0"/>
        <v>16627551</v>
      </c>
      <c r="K5" s="269">
        <f t="shared" si="0"/>
        <v>16447334</v>
      </c>
      <c r="L5" s="305">
        <f t="shared" si="0"/>
        <v>16447334</v>
      </c>
      <c r="M5" s="268">
        <f t="shared" si="0"/>
        <v>16333003</v>
      </c>
      <c r="N5" s="269">
        <f t="shared" si="0"/>
        <v>16250497</v>
      </c>
      <c r="O5" s="269">
        <f t="shared" si="0"/>
        <v>16449992</v>
      </c>
      <c r="P5" s="269">
        <f t="shared" si="0"/>
        <v>16482031</v>
      </c>
      <c r="Q5" s="305">
        <f t="shared" si="0"/>
        <v>16482031</v>
      </c>
      <c r="R5" s="268">
        <f t="shared" si="0"/>
        <v>16429469</v>
      </c>
      <c r="S5" s="269">
        <f t="shared" si="0"/>
        <v>16349090</v>
      </c>
      <c r="T5" s="269">
        <f t="shared" si="0"/>
        <v>16395514</v>
      </c>
      <c r="U5" s="269">
        <f t="shared" si="0"/>
        <v>16469696</v>
      </c>
      <c r="V5" s="305">
        <f t="shared" si="0"/>
        <v>16469696</v>
      </c>
      <c r="W5" s="268">
        <f t="shared" si="0"/>
        <v>16531833</v>
      </c>
      <c r="X5" s="269">
        <f t="shared" si="0"/>
        <v>16711541</v>
      </c>
      <c r="Y5" s="269">
        <f t="shared" si="0"/>
        <v>16545653</v>
      </c>
      <c r="Z5" s="269">
        <f t="shared" si="0"/>
        <v>16524936</v>
      </c>
      <c r="AA5" s="305">
        <f t="shared" si="0"/>
        <v>16524936</v>
      </c>
      <c r="AB5" s="268">
        <f t="shared" si="0"/>
        <v>16216128</v>
      </c>
      <c r="AC5" s="269">
        <f t="shared" si="0"/>
        <v>16273840</v>
      </c>
      <c r="AD5" s="269">
        <f t="shared" si="0"/>
        <v>16410325</v>
      </c>
      <c r="AE5" s="269">
        <f t="shared" si="0"/>
        <v>16522597</v>
      </c>
      <c r="AF5" s="305">
        <f t="shared" si="0"/>
        <v>16522597</v>
      </c>
      <c r="AG5" s="268">
        <f>AG7+AG24</f>
        <v>16579337</v>
      </c>
      <c r="AH5" s="269">
        <f t="shared" si="0"/>
        <v>16698622</v>
      </c>
      <c r="AI5" s="269">
        <f>AI7+AI24</f>
        <v>16851153</v>
      </c>
      <c r="AJ5" s="269">
        <f t="shared" si="0"/>
        <v>16906133</v>
      </c>
      <c r="AK5" s="305">
        <f>AK7+AK24</f>
        <v>16906133</v>
      </c>
      <c r="AL5" s="268">
        <f t="shared" ref="AL5:AT5" si="1">AL7+AL24</f>
        <v>16973770</v>
      </c>
      <c r="AM5" s="269">
        <f t="shared" si="1"/>
        <v>17058921</v>
      </c>
      <c r="AN5" s="269">
        <f t="shared" si="1"/>
        <v>17266759</v>
      </c>
      <c r="AO5" s="269">
        <f t="shared" si="1"/>
        <v>17386252</v>
      </c>
      <c r="AP5" s="305">
        <f t="shared" si="1"/>
        <v>17386252</v>
      </c>
      <c r="AQ5" s="268">
        <f t="shared" si="1"/>
        <v>17435613</v>
      </c>
      <c r="AR5" s="269">
        <f>AR7+AR24</f>
        <v>17504720</v>
      </c>
      <c r="AS5" s="269">
        <f t="shared" si="1"/>
        <v>17840155</v>
      </c>
      <c r="AT5" s="269">
        <f t="shared" si="1"/>
        <v>17989701</v>
      </c>
      <c r="AU5" s="305">
        <f>AU7+AU24</f>
        <v>17989701</v>
      </c>
      <c r="AV5" s="268">
        <f t="shared" ref="AV5" si="2">AV7+AV24</f>
        <v>18094192</v>
      </c>
      <c r="AW5" s="269">
        <f>AW7+AW24</f>
        <v>18022621</v>
      </c>
      <c r="AX5" s="269">
        <f t="shared" ref="AX5:AY5" si="3">AX7+AX24</f>
        <v>18121078</v>
      </c>
      <c r="AY5" s="269">
        <f t="shared" si="3"/>
        <v>0</v>
      </c>
      <c r="AZ5" s="305">
        <f>AZ7+AZ24</f>
        <v>18121078</v>
      </c>
    </row>
    <row r="6" spans="1:53" s="263" customFormat="1" ht="20.149999999999999" customHeight="1" thickBot="1">
      <c r="A6" s="177" t="s">
        <v>738</v>
      </c>
      <c r="B6" s="177" t="s">
        <v>739</v>
      </c>
      <c r="C6" s="285"/>
      <c r="D6" s="286"/>
      <c r="E6" s="286"/>
      <c r="F6" s="286"/>
      <c r="G6" s="287"/>
      <c r="H6" s="288"/>
      <c r="I6" s="286"/>
      <c r="J6" s="286"/>
      <c r="K6" s="286"/>
      <c r="L6" s="287"/>
      <c r="M6" s="289"/>
      <c r="N6" s="286"/>
      <c r="O6" s="286"/>
      <c r="P6" s="286"/>
      <c r="Q6" s="287"/>
      <c r="R6" s="289"/>
      <c r="S6" s="286"/>
      <c r="T6" s="286"/>
      <c r="U6" s="286"/>
      <c r="V6" s="287"/>
      <c r="W6" s="289"/>
      <c r="X6" s="290"/>
      <c r="Y6" s="290"/>
      <c r="Z6" s="286"/>
      <c r="AA6" s="287"/>
      <c r="AB6" s="289"/>
      <c r="AC6" s="290"/>
      <c r="AD6" s="290"/>
      <c r="AE6" s="286"/>
      <c r="AF6" s="287"/>
      <c r="AG6" s="290"/>
      <c r="AH6" s="290"/>
      <c r="AI6" s="290"/>
      <c r="AJ6" s="290"/>
      <c r="AK6" s="287"/>
      <c r="AL6" s="290"/>
      <c r="AM6" s="290"/>
      <c r="AN6" s="290"/>
      <c r="AO6" s="290"/>
      <c r="AP6" s="287"/>
      <c r="AQ6" s="290"/>
      <c r="AR6" s="290"/>
      <c r="AS6" s="290"/>
      <c r="AT6" s="290"/>
      <c r="AU6" s="287"/>
      <c r="AV6" s="290"/>
      <c r="AW6" s="290"/>
      <c r="AX6" s="290"/>
      <c r="AY6" s="290"/>
      <c r="AZ6" s="287"/>
    </row>
    <row r="7" spans="1:53" ht="20.149999999999999" customHeight="1" thickBot="1">
      <c r="A7" s="273" t="s">
        <v>740</v>
      </c>
      <c r="B7" s="274" t="s">
        <v>741</v>
      </c>
      <c r="C7" s="275">
        <f>C8+C10+C11</f>
        <v>11532547</v>
      </c>
      <c r="D7" s="276">
        <f t="shared" ref="D7:N7" si="4">D8+D10+D11</f>
        <v>11516833</v>
      </c>
      <c r="E7" s="276">
        <f t="shared" si="4"/>
        <v>11605099</v>
      </c>
      <c r="F7" s="276">
        <f t="shared" si="4"/>
        <v>11735100</v>
      </c>
      <c r="G7" s="284">
        <f>SUM(G8,G10:G11)</f>
        <v>11735100</v>
      </c>
      <c r="H7" s="275">
        <f t="shared" si="4"/>
        <v>11799951</v>
      </c>
      <c r="I7" s="276">
        <f t="shared" si="4"/>
        <v>11868947</v>
      </c>
      <c r="J7" s="276">
        <f t="shared" si="4"/>
        <v>11908422</v>
      </c>
      <c r="K7" s="276">
        <f t="shared" si="4"/>
        <v>11978807</v>
      </c>
      <c r="L7" s="284">
        <f>SUM(L8,L10:L11)</f>
        <v>11978807</v>
      </c>
      <c r="M7" s="275">
        <f t="shared" si="4"/>
        <v>11982678</v>
      </c>
      <c r="N7" s="276">
        <f t="shared" si="4"/>
        <v>12023369</v>
      </c>
      <c r="O7" s="276">
        <f>O8+O10+O11</f>
        <v>12230798</v>
      </c>
      <c r="P7" s="276">
        <f>P8+P10+P11</f>
        <v>12347828</v>
      </c>
      <c r="Q7" s="284">
        <f>Q8+Q10+Q11</f>
        <v>12347828</v>
      </c>
      <c r="R7" s="275">
        <f t="shared" ref="R7:AJ7" si="5">R8+R10+R11</f>
        <v>12394712</v>
      </c>
      <c r="S7" s="276">
        <f t="shared" si="5"/>
        <v>12377021</v>
      </c>
      <c r="T7" s="276">
        <f t="shared" si="5"/>
        <v>12418707</v>
      </c>
      <c r="U7" s="276">
        <f t="shared" si="5"/>
        <v>12614703</v>
      </c>
      <c r="V7" s="284">
        <f t="shared" si="5"/>
        <v>12614703</v>
      </c>
      <c r="W7" s="275">
        <f t="shared" si="5"/>
        <v>12744166</v>
      </c>
      <c r="X7" s="276">
        <f t="shared" si="5"/>
        <v>12880725</v>
      </c>
      <c r="Y7" s="276">
        <f t="shared" si="5"/>
        <v>13017749</v>
      </c>
      <c r="Z7" s="276">
        <f t="shared" si="5"/>
        <v>13254598</v>
      </c>
      <c r="AA7" s="284">
        <f t="shared" si="5"/>
        <v>13254598</v>
      </c>
      <c r="AB7" s="275">
        <f t="shared" si="5"/>
        <v>13337038</v>
      </c>
      <c r="AC7" s="276">
        <f t="shared" si="5"/>
        <v>13419539</v>
      </c>
      <c r="AD7" s="276">
        <f t="shared" si="5"/>
        <v>13530164</v>
      </c>
      <c r="AE7" s="276">
        <f t="shared" si="5"/>
        <v>13685044</v>
      </c>
      <c r="AF7" s="284">
        <f t="shared" si="5"/>
        <v>13685044</v>
      </c>
      <c r="AG7" s="276">
        <f t="shared" si="5"/>
        <v>13796153</v>
      </c>
      <c r="AH7" s="276">
        <v>13929804</v>
      </c>
      <c r="AI7" s="276">
        <v>14057045</v>
      </c>
      <c r="AJ7" s="276">
        <f t="shared" si="5"/>
        <v>14259264</v>
      </c>
      <c r="AK7" s="284">
        <f>AK8+AK10+AK11</f>
        <v>14259264</v>
      </c>
      <c r="AL7" s="276">
        <f>SUM(AL8,AL10:AL11)</f>
        <v>14330995</v>
      </c>
      <c r="AM7" s="276">
        <f t="shared" ref="AM7:AP7" si="6">SUM(AM8,AM10:AM11)</f>
        <v>14451610</v>
      </c>
      <c r="AN7" s="276">
        <f t="shared" si="6"/>
        <v>14587869</v>
      </c>
      <c r="AO7" s="276">
        <f t="shared" si="6"/>
        <v>14728758</v>
      </c>
      <c r="AP7" s="284">
        <f t="shared" si="6"/>
        <v>14728758</v>
      </c>
      <c r="AQ7" s="276">
        <f>SUM(AQ8,AQ10:AQ11)</f>
        <v>14796975</v>
      </c>
      <c r="AR7" s="276">
        <f t="shared" ref="AR7:AT7" si="7">SUM(AR8,AR10:AR11)</f>
        <v>14979496</v>
      </c>
      <c r="AS7" s="276">
        <f t="shared" si="7"/>
        <v>15168916</v>
      </c>
      <c r="AT7" s="276">
        <f t="shared" si="7"/>
        <v>15371888</v>
      </c>
      <c r="AU7" s="284">
        <f>SUM(AU8,AU10:AU11)</f>
        <v>15371888</v>
      </c>
      <c r="AV7" s="276">
        <f>SUM(AV8,AV10:AV11)</f>
        <v>15358097</v>
      </c>
      <c r="AW7" s="276">
        <f t="shared" ref="AW7:AZ7" si="8">SUM(AW8,AW10:AW11)</f>
        <v>15426731</v>
      </c>
      <c r="AX7" s="276">
        <f t="shared" si="8"/>
        <v>15490364</v>
      </c>
      <c r="AY7" s="276">
        <f t="shared" si="8"/>
        <v>0</v>
      </c>
      <c r="AZ7" s="284">
        <f t="shared" si="8"/>
        <v>15490364</v>
      </c>
      <c r="BA7" s="241"/>
    </row>
    <row r="8" spans="1:53" ht="20.149999999999999" customHeight="1">
      <c r="A8" s="242" t="s">
        <v>742</v>
      </c>
      <c r="B8" s="242" t="s">
        <v>743</v>
      </c>
      <c r="C8" s="240">
        <v>3885022</v>
      </c>
      <c r="D8" s="70">
        <v>3868733</v>
      </c>
      <c r="E8" s="70">
        <v>3921673</v>
      </c>
      <c r="F8" s="70">
        <v>3994875</v>
      </c>
      <c r="G8" s="283">
        <f>F8</f>
        <v>3994875</v>
      </c>
      <c r="H8" s="240">
        <v>4047592</v>
      </c>
      <c r="I8" s="70">
        <v>4127560</v>
      </c>
      <c r="J8" s="70">
        <v>4160343</v>
      </c>
      <c r="K8" s="70">
        <v>4212323</v>
      </c>
      <c r="L8" s="283">
        <f>K8</f>
        <v>4212323</v>
      </c>
      <c r="M8" s="240">
        <v>4236986</v>
      </c>
      <c r="N8" s="70">
        <v>4255544</v>
      </c>
      <c r="O8" s="243">
        <v>4344773</v>
      </c>
      <c r="P8" s="70">
        <v>4391702</v>
      </c>
      <c r="Q8" s="283">
        <v>4391702</v>
      </c>
      <c r="R8" s="240">
        <v>4405464</v>
      </c>
      <c r="S8" s="70">
        <v>4374517</v>
      </c>
      <c r="T8" s="70">
        <v>4396361</v>
      </c>
      <c r="U8" s="70">
        <v>4503320</v>
      </c>
      <c r="V8" s="283">
        <f t="shared" ref="V8:V12" si="9">U8</f>
        <v>4503320</v>
      </c>
      <c r="W8" s="240">
        <v>4560267</v>
      </c>
      <c r="X8" s="70">
        <v>4632246</v>
      </c>
      <c r="Y8" s="70">
        <v>4679114</v>
      </c>
      <c r="Z8" s="70">
        <v>4766429</v>
      </c>
      <c r="AA8" s="283">
        <f t="shared" ref="AA8:AA12" si="10">Z8</f>
        <v>4766429</v>
      </c>
      <c r="AB8" s="240">
        <v>4785947</v>
      </c>
      <c r="AC8" s="70">
        <v>4835534</v>
      </c>
      <c r="AD8" s="70">
        <v>4882505</v>
      </c>
      <c r="AE8" s="70">
        <v>4942640</v>
      </c>
      <c r="AF8" s="283">
        <f t="shared" ref="AF8:AF12" si="11">AE8</f>
        <v>4942640</v>
      </c>
      <c r="AG8" s="70">
        <v>4984391</v>
      </c>
      <c r="AH8" s="70">
        <v>5027520</v>
      </c>
      <c r="AI8" s="70">
        <v>5038210</v>
      </c>
      <c r="AJ8" s="70">
        <v>5098917</v>
      </c>
      <c r="AK8" s="283">
        <v>5098917</v>
      </c>
      <c r="AL8" s="70">
        <v>5077221</v>
      </c>
      <c r="AM8" s="70">
        <v>5058740</v>
      </c>
      <c r="AN8" s="70">
        <v>5033398</v>
      </c>
      <c r="AO8" s="70">
        <v>5038448</v>
      </c>
      <c r="AP8" s="283">
        <f>AO8</f>
        <v>5038448</v>
      </c>
      <c r="AQ8" s="70">
        <v>4992356</v>
      </c>
      <c r="AR8" s="70">
        <v>5000734</v>
      </c>
      <c r="AS8" s="70">
        <v>5010376</v>
      </c>
      <c r="AT8" s="70">
        <v>5010358</v>
      </c>
      <c r="AU8" s="283">
        <f>AT8</f>
        <v>5010358</v>
      </c>
      <c r="AV8" s="70">
        <v>4985621</v>
      </c>
      <c r="AW8" s="70">
        <v>4961196</v>
      </c>
      <c r="AX8" s="70">
        <v>4922037</v>
      </c>
      <c r="AY8" s="69"/>
      <c r="AZ8" s="283">
        <f>AX8</f>
        <v>4922037</v>
      </c>
      <c r="BA8" s="241"/>
    </row>
    <row r="9" spans="1:53" ht="20.149999999999999" customHeight="1">
      <c r="A9" s="244" t="s">
        <v>744</v>
      </c>
      <c r="B9" s="244" t="s">
        <v>744</v>
      </c>
      <c r="C9" s="245">
        <v>394001</v>
      </c>
      <c r="D9" s="79">
        <v>416027</v>
      </c>
      <c r="E9" s="79">
        <v>470578</v>
      </c>
      <c r="F9" s="79">
        <v>510617</v>
      </c>
      <c r="G9" s="304">
        <f t="shared" ref="G9:G11" si="12">F9</f>
        <v>510617</v>
      </c>
      <c r="H9" s="245">
        <v>559997</v>
      </c>
      <c r="I9" s="79">
        <v>633475</v>
      </c>
      <c r="J9" s="79">
        <v>680316</v>
      </c>
      <c r="K9" s="79">
        <v>719935</v>
      </c>
      <c r="L9" s="304">
        <f>K9</f>
        <v>719935</v>
      </c>
      <c r="M9" s="245">
        <v>749319</v>
      </c>
      <c r="N9" s="79">
        <v>771481</v>
      </c>
      <c r="O9" s="246">
        <v>806064</v>
      </c>
      <c r="P9" s="79">
        <v>844809</v>
      </c>
      <c r="Q9" s="304">
        <v>844809</v>
      </c>
      <c r="R9" s="245">
        <v>872628</v>
      </c>
      <c r="S9" s="79">
        <v>886305</v>
      </c>
      <c r="T9" s="79">
        <v>901271</v>
      </c>
      <c r="U9" s="79">
        <v>936307</v>
      </c>
      <c r="V9" s="304">
        <f t="shared" si="9"/>
        <v>936307</v>
      </c>
      <c r="W9" s="245">
        <v>957952</v>
      </c>
      <c r="X9" s="79">
        <v>972771</v>
      </c>
      <c r="Y9" s="79">
        <v>982068</v>
      </c>
      <c r="Z9" s="79">
        <v>1021720</v>
      </c>
      <c r="AA9" s="304">
        <f t="shared" si="10"/>
        <v>1021720</v>
      </c>
      <c r="AB9" s="245">
        <v>1031294</v>
      </c>
      <c r="AC9" s="79">
        <v>1058982</v>
      </c>
      <c r="AD9" s="79">
        <v>1072513</v>
      </c>
      <c r="AE9" s="79">
        <v>1099582</v>
      </c>
      <c r="AF9" s="304">
        <f t="shared" si="11"/>
        <v>1099582</v>
      </c>
      <c r="AG9" s="79">
        <v>1114833</v>
      </c>
      <c r="AH9" s="79">
        <v>1127285</v>
      </c>
      <c r="AI9" s="79">
        <v>1141820</v>
      </c>
      <c r="AJ9" s="79">
        <v>1160353</v>
      </c>
      <c r="AK9" s="304">
        <v>1160353</v>
      </c>
      <c r="AL9" s="79">
        <v>1167983</v>
      </c>
      <c r="AM9" s="79">
        <v>1173866</v>
      </c>
      <c r="AN9" s="79">
        <v>1180891</v>
      </c>
      <c r="AO9" s="79">
        <v>1192984</v>
      </c>
      <c r="AP9" s="304">
        <f t="shared" ref="AP9:AP12" si="13">AO9</f>
        <v>1192984</v>
      </c>
      <c r="AQ9" s="79">
        <v>1187199</v>
      </c>
      <c r="AR9" s="79">
        <v>1197486</v>
      </c>
      <c r="AS9" s="79">
        <v>1200561</v>
      </c>
      <c r="AT9" s="79">
        <v>1208676</v>
      </c>
      <c r="AU9" s="304">
        <f>AT9</f>
        <v>1208676</v>
      </c>
      <c r="AV9" s="79">
        <v>1206068</v>
      </c>
      <c r="AW9" s="79">
        <v>1202991</v>
      </c>
      <c r="AX9" s="79">
        <v>1198803</v>
      </c>
      <c r="AY9" s="79"/>
      <c r="AZ9" s="304">
        <f t="shared" ref="AZ9:AZ11" si="14">AX9</f>
        <v>1198803</v>
      </c>
      <c r="BA9" s="241"/>
    </row>
    <row r="10" spans="1:53" ht="20.149999999999999" customHeight="1">
      <c r="A10" s="242" t="s">
        <v>630</v>
      </c>
      <c r="B10" s="242" t="s">
        <v>631</v>
      </c>
      <c r="C10" s="240">
        <v>6985015</v>
      </c>
      <c r="D10" s="70">
        <v>6978192</v>
      </c>
      <c r="E10" s="70">
        <v>6976594</v>
      </c>
      <c r="F10" s="70">
        <v>6979590</v>
      </c>
      <c r="G10" s="283">
        <f t="shared" si="12"/>
        <v>6979590</v>
      </c>
      <c r="H10" s="240">
        <v>6941638</v>
      </c>
      <c r="I10" s="70">
        <v>6891314</v>
      </c>
      <c r="J10" s="70">
        <v>6834719</v>
      </c>
      <c r="K10" s="70">
        <v>6778675</v>
      </c>
      <c r="L10" s="283">
        <f t="shared" ref="L10:L11" si="15">K10</f>
        <v>6778675</v>
      </c>
      <c r="M10" s="240">
        <v>6713629</v>
      </c>
      <c r="N10" s="70">
        <v>6644687</v>
      </c>
      <c r="O10" s="243">
        <v>6617382</v>
      </c>
      <c r="P10" s="70">
        <v>6587915</v>
      </c>
      <c r="Q10" s="283">
        <v>6587915</v>
      </c>
      <c r="R10" s="240">
        <v>6552365</v>
      </c>
      <c r="S10" s="70">
        <v>6519311</v>
      </c>
      <c r="T10" s="70">
        <v>6505016</v>
      </c>
      <c r="U10" s="70">
        <v>6516643</v>
      </c>
      <c r="V10" s="283">
        <f t="shared" si="9"/>
        <v>6516643</v>
      </c>
      <c r="W10" s="240">
        <v>6536366</v>
      </c>
      <c r="X10" s="70">
        <v>6559223</v>
      </c>
      <c r="Y10" s="70">
        <v>6616579</v>
      </c>
      <c r="Z10" s="70">
        <v>6730427</v>
      </c>
      <c r="AA10" s="283">
        <f t="shared" si="10"/>
        <v>6730427</v>
      </c>
      <c r="AB10" s="240">
        <v>6785002</v>
      </c>
      <c r="AC10" s="70">
        <v>6810999</v>
      </c>
      <c r="AD10" s="70">
        <v>6864787</v>
      </c>
      <c r="AE10" s="70">
        <v>6932676</v>
      </c>
      <c r="AF10" s="283">
        <f t="shared" si="11"/>
        <v>6932676</v>
      </c>
      <c r="AG10" s="70">
        <v>6997850</v>
      </c>
      <c r="AH10" s="70">
        <v>7098239</v>
      </c>
      <c r="AI10" s="70">
        <v>7209240</v>
      </c>
      <c r="AJ10" s="70">
        <v>7345213</v>
      </c>
      <c r="AK10" s="283">
        <v>7345213</v>
      </c>
      <c r="AL10" s="70">
        <v>7452479</v>
      </c>
      <c r="AM10" s="70">
        <v>7597611</v>
      </c>
      <c r="AN10" s="70">
        <v>7752113</v>
      </c>
      <c r="AO10" s="70">
        <v>7894581</v>
      </c>
      <c r="AP10" s="283">
        <f t="shared" si="13"/>
        <v>7894581</v>
      </c>
      <c r="AQ10" s="70">
        <v>8016501</v>
      </c>
      <c r="AR10" s="70">
        <v>8188807</v>
      </c>
      <c r="AS10" s="70">
        <v>8366901.0000000009</v>
      </c>
      <c r="AT10" s="70">
        <v>8534841</v>
      </c>
      <c r="AU10" s="283">
        <f>AT10</f>
        <v>8534841</v>
      </c>
      <c r="AV10" s="70">
        <v>8551871</v>
      </c>
      <c r="AW10" s="70">
        <v>8649761</v>
      </c>
      <c r="AX10" s="70">
        <v>8781111</v>
      </c>
      <c r="AY10" s="70"/>
      <c r="AZ10" s="283">
        <f t="shared" si="14"/>
        <v>8781111</v>
      </c>
      <c r="BA10" s="241"/>
    </row>
    <row r="11" spans="1:53" ht="20.149999999999999" customHeight="1" thickBot="1">
      <c r="A11" s="242" t="s">
        <v>633</v>
      </c>
      <c r="B11" s="242" t="s">
        <v>633</v>
      </c>
      <c r="C11" s="240">
        <v>662510</v>
      </c>
      <c r="D11" s="70">
        <v>669908</v>
      </c>
      <c r="E11" s="70">
        <v>706832</v>
      </c>
      <c r="F11" s="70">
        <v>760635</v>
      </c>
      <c r="G11" s="283">
        <f t="shared" si="12"/>
        <v>760635</v>
      </c>
      <c r="H11" s="240">
        <v>810721</v>
      </c>
      <c r="I11" s="70">
        <v>850073</v>
      </c>
      <c r="J11" s="70">
        <v>913360</v>
      </c>
      <c r="K11" s="70">
        <v>987809</v>
      </c>
      <c r="L11" s="283">
        <f t="shared" si="15"/>
        <v>987809</v>
      </c>
      <c r="M11" s="247">
        <v>1032063</v>
      </c>
      <c r="N11" s="71">
        <v>1123138</v>
      </c>
      <c r="O11" s="243">
        <v>1268643</v>
      </c>
      <c r="P11" s="1">
        <v>1368211</v>
      </c>
      <c r="Q11" s="283">
        <v>1368211</v>
      </c>
      <c r="R11" s="247">
        <v>1436883</v>
      </c>
      <c r="S11" s="71">
        <v>1483193</v>
      </c>
      <c r="T11" s="71">
        <v>1517330</v>
      </c>
      <c r="U11" s="70">
        <v>1594740</v>
      </c>
      <c r="V11" s="283">
        <f t="shared" si="9"/>
        <v>1594740</v>
      </c>
      <c r="W11" s="247">
        <v>1647533</v>
      </c>
      <c r="X11" s="71">
        <v>1689256</v>
      </c>
      <c r="Y11" s="71">
        <v>1722056</v>
      </c>
      <c r="Z11" s="70">
        <v>1757742</v>
      </c>
      <c r="AA11" s="283">
        <f t="shared" si="10"/>
        <v>1757742</v>
      </c>
      <c r="AB11" s="247">
        <v>1766089</v>
      </c>
      <c r="AC11" s="71">
        <v>1773006</v>
      </c>
      <c r="AD11" s="71">
        <v>1782872</v>
      </c>
      <c r="AE11" s="71">
        <v>1809728</v>
      </c>
      <c r="AF11" s="283">
        <f t="shared" si="11"/>
        <v>1809728</v>
      </c>
      <c r="AG11" s="71">
        <v>1813912</v>
      </c>
      <c r="AH11" s="71">
        <v>1804045</v>
      </c>
      <c r="AI11" s="71">
        <v>1809595</v>
      </c>
      <c r="AJ11" s="71">
        <v>1815134</v>
      </c>
      <c r="AK11" s="283">
        <v>1815134</v>
      </c>
      <c r="AL11" s="71">
        <v>1801295</v>
      </c>
      <c r="AM11" s="71">
        <v>1795259</v>
      </c>
      <c r="AN11" s="71">
        <v>1802358</v>
      </c>
      <c r="AO11" s="71">
        <v>1795729</v>
      </c>
      <c r="AP11" s="283">
        <f t="shared" si="13"/>
        <v>1795729</v>
      </c>
      <c r="AQ11" s="71">
        <v>1788118</v>
      </c>
      <c r="AR11" s="71">
        <v>1789955</v>
      </c>
      <c r="AS11" s="71">
        <v>1791639</v>
      </c>
      <c r="AT11" s="71">
        <v>1826689</v>
      </c>
      <c r="AU11" s="283">
        <f>AT11</f>
        <v>1826689</v>
      </c>
      <c r="AV11" s="71">
        <v>1820605</v>
      </c>
      <c r="AW11" s="71">
        <v>1815774</v>
      </c>
      <c r="AX11" s="70">
        <v>1787216</v>
      </c>
      <c r="AY11" s="71"/>
      <c r="AZ11" s="283">
        <f t="shared" si="14"/>
        <v>1787216</v>
      </c>
      <c r="BA11" s="241"/>
    </row>
    <row r="12" spans="1:53" ht="20.149999999999999" customHeight="1" thickBot="1">
      <c r="A12" s="175" t="s">
        <v>745</v>
      </c>
      <c r="B12" s="175" t="s">
        <v>746</v>
      </c>
      <c r="C12" s="268">
        <v>6282300</v>
      </c>
      <c r="D12" s="269">
        <v>6264412</v>
      </c>
      <c r="E12" s="269">
        <v>6281184</v>
      </c>
      <c r="F12" s="269">
        <v>6313423</v>
      </c>
      <c r="G12" s="270">
        <f>F12</f>
        <v>6313423</v>
      </c>
      <c r="H12" s="268">
        <v>6318321</v>
      </c>
      <c r="I12" s="269">
        <v>6306877</v>
      </c>
      <c r="J12" s="269">
        <v>6285607</v>
      </c>
      <c r="K12" s="269">
        <v>6287658</v>
      </c>
      <c r="L12" s="270">
        <f>K12</f>
        <v>6287658</v>
      </c>
      <c r="M12" s="268">
        <v>6260662</v>
      </c>
      <c r="N12" s="269">
        <v>6221111</v>
      </c>
      <c r="O12" s="269">
        <v>6184775</v>
      </c>
      <c r="P12" s="269">
        <v>6137531</v>
      </c>
      <c r="Q12" s="270">
        <v>6137531</v>
      </c>
      <c r="R12" s="268">
        <v>6068839</v>
      </c>
      <c r="S12" s="269">
        <v>5990051</v>
      </c>
      <c r="T12" s="269">
        <v>5937768</v>
      </c>
      <c r="U12" s="269">
        <v>5916103</v>
      </c>
      <c r="V12" s="270">
        <f t="shared" si="9"/>
        <v>5916103</v>
      </c>
      <c r="W12" s="268">
        <v>5893225</v>
      </c>
      <c r="X12" s="269">
        <v>5862310</v>
      </c>
      <c r="Y12" s="269">
        <v>5860884</v>
      </c>
      <c r="Z12" s="269">
        <v>5882804</v>
      </c>
      <c r="AA12" s="270">
        <f t="shared" si="10"/>
        <v>5882804</v>
      </c>
      <c r="AB12" s="268">
        <v>5847401</v>
      </c>
      <c r="AC12" s="269">
        <v>5819386</v>
      </c>
      <c r="AD12" s="269">
        <v>5791841</v>
      </c>
      <c r="AE12" s="269">
        <v>5776598</v>
      </c>
      <c r="AF12" s="270">
        <f t="shared" si="11"/>
        <v>5776598</v>
      </c>
      <c r="AG12" s="268">
        <v>5743832</v>
      </c>
      <c r="AH12" s="269">
        <v>5724492</v>
      </c>
      <c r="AI12" s="269">
        <v>5712151</v>
      </c>
      <c r="AJ12" s="269">
        <v>5706147</v>
      </c>
      <c r="AK12" s="270">
        <v>5706147</v>
      </c>
      <c r="AL12" s="268">
        <v>5672790</v>
      </c>
      <c r="AM12" s="269">
        <v>5652912</v>
      </c>
      <c r="AN12" s="269">
        <v>5644291</v>
      </c>
      <c r="AO12" s="269">
        <v>5637734</v>
      </c>
      <c r="AP12" s="270">
        <f t="shared" si="13"/>
        <v>5637734</v>
      </c>
      <c r="AQ12" s="268">
        <v>5601300</v>
      </c>
      <c r="AR12" s="269">
        <v>5587104</v>
      </c>
      <c r="AS12" s="269">
        <v>5569734</v>
      </c>
      <c r="AT12" s="269">
        <v>5548417</v>
      </c>
      <c r="AU12" s="270">
        <f>AT12</f>
        <v>5548417</v>
      </c>
      <c r="AV12" s="268">
        <v>5504797</v>
      </c>
      <c r="AW12" s="269">
        <v>5472855</v>
      </c>
      <c r="AX12" s="269">
        <v>5446111</v>
      </c>
      <c r="AY12" s="269"/>
      <c r="AZ12" s="270">
        <f>AX12</f>
        <v>5446111</v>
      </c>
      <c r="BA12" s="241"/>
    </row>
    <row r="13" spans="1:53" s="282" customFormat="1" ht="20.149999999999999" customHeight="1" thickBot="1">
      <c r="A13" s="280" t="s">
        <v>747</v>
      </c>
      <c r="B13" s="281" t="s">
        <v>748</v>
      </c>
      <c r="C13" s="278"/>
      <c r="D13" s="279"/>
      <c r="E13" s="279"/>
      <c r="F13" s="279"/>
      <c r="G13" s="277"/>
      <c r="H13" s="278"/>
      <c r="I13" s="279"/>
      <c r="J13" s="279"/>
      <c r="K13" s="279"/>
      <c r="L13" s="277"/>
      <c r="M13" s="278"/>
      <c r="N13" s="279"/>
      <c r="O13" s="279"/>
      <c r="P13" s="279"/>
      <c r="Q13" s="277"/>
      <c r="R13" s="278"/>
      <c r="S13" s="279"/>
      <c r="T13" s="279"/>
      <c r="U13" s="279"/>
      <c r="V13" s="277"/>
      <c r="W13" s="278"/>
      <c r="X13" s="279"/>
      <c r="Y13" s="279"/>
      <c r="Z13" s="279"/>
      <c r="AA13" s="277"/>
      <c r="AB13" s="278">
        <v>80.3</v>
      </c>
      <c r="AC13" s="279">
        <v>81.2</v>
      </c>
      <c r="AD13" s="279">
        <v>80.5</v>
      </c>
      <c r="AE13" s="279">
        <v>81.900000000000006</v>
      </c>
      <c r="AF13" s="277"/>
      <c r="AG13" s="279">
        <v>81.900000000000006</v>
      </c>
      <c r="AH13" s="279">
        <v>82.9</v>
      </c>
      <c r="AI13" s="279">
        <v>84</v>
      </c>
      <c r="AJ13" s="279">
        <v>84</v>
      </c>
      <c r="AK13" s="277">
        <v>83.2</v>
      </c>
      <c r="AL13" s="279">
        <v>82.9</v>
      </c>
      <c r="AM13" s="279">
        <v>83.4</v>
      </c>
      <c r="AN13" s="279">
        <v>84.8</v>
      </c>
      <c r="AO13" s="279">
        <v>85.6</v>
      </c>
      <c r="AP13" s="277">
        <v>84.2</v>
      </c>
      <c r="AQ13" s="279">
        <v>85.4</v>
      </c>
      <c r="AR13" s="279">
        <v>86.5</v>
      </c>
      <c r="AS13" s="279">
        <v>86.9</v>
      </c>
      <c r="AT13" s="279">
        <v>89.9</v>
      </c>
      <c r="AU13" s="277">
        <v>87.2</v>
      </c>
      <c r="AV13" s="279">
        <v>90.5</v>
      </c>
      <c r="AW13" s="279">
        <v>91.427769176968681</v>
      </c>
      <c r="AX13" s="279">
        <v>90.3</v>
      </c>
      <c r="AY13" s="279"/>
      <c r="AZ13" s="277">
        <v>90.737123963303631</v>
      </c>
    </row>
    <row r="14" spans="1:53" ht="20.149999999999999" hidden="1" customHeight="1" outlineLevel="1">
      <c r="A14" s="249" t="s">
        <v>749</v>
      </c>
      <c r="B14" s="249" t="s">
        <v>750</v>
      </c>
      <c r="C14" s="250">
        <v>92.5</v>
      </c>
      <c r="D14" s="80">
        <v>94.4</v>
      </c>
      <c r="E14" s="80">
        <v>93.8</v>
      </c>
      <c r="F14" s="80">
        <v>93.8</v>
      </c>
      <c r="G14" s="267">
        <v>93.6</v>
      </c>
      <c r="H14" s="250">
        <v>89.1</v>
      </c>
      <c r="I14" s="80">
        <v>90.3</v>
      </c>
      <c r="J14" s="80">
        <v>87.6</v>
      </c>
      <c r="K14" s="80">
        <v>87.1</v>
      </c>
      <c r="L14" s="267">
        <v>88.5</v>
      </c>
      <c r="M14" s="250">
        <v>84.8</v>
      </c>
      <c r="N14" s="80">
        <v>85.3</v>
      </c>
      <c r="O14" s="248">
        <v>86.5</v>
      </c>
      <c r="P14" s="80">
        <v>87.2</v>
      </c>
      <c r="Q14" s="267">
        <v>85.9</v>
      </c>
      <c r="R14" s="250">
        <v>85.8</v>
      </c>
      <c r="S14" s="80">
        <v>87</v>
      </c>
      <c r="T14" s="80">
        <v>88.1</v>
      </c>
      <c r="U14" s="80">
        <v>88.3</v>
      </c>
      <c r="V14" s="267">
        <v>87.3</v>
      </c>
      <c r="W14" s="250">
        <v>87</v>
      </c>
      <c r="X14" s="80">
        <v>88.4</v>
      </c>
      <c r="Y14" s="80">
        <v>88.6</v>
      </c>
      <c r="Z14" s="80">
        <v>90.7</v>
      </c>
      <c r="AA14" s="267">
        <v>88.7</v>
      </c>
      <c r="AB14" s="250">
        <v>89.1</v>
      </c>
      <c r="AC14" s="80">
        <v>89.6</v>
      </c>
      <c r="AD14" s="80">
        <v>88.4</v>
      </c>
      <c r="AE14" s="80">
        <v>89</v>
      </c>
      <c r="AF14" s="267">
        <v>89</v>
      </c>
      <c r="AG14" s="250">
        <v>88.7</v>
      </c>
      <c r="AH14" s="80">
        <v>89.6</v>
      </c>
      <c r="AI14" s="80">
        <v>90.1</v>
      </c>
      <c r="AJ14" s="80">
        <v>90.5</v>
      </c>
      <c r="AK14" s="267">
        <v>89.7</v>
      </c>
      <c r="AL14" s="250"/>
      <c r="AM14" s="80"/>
      <c r="AN14" s="80"/>
      <c r="AO14" s="80"/>
      <c r="AP14" s="267"/>
      <c r="AQ14" s="250"/>
      <c r="AR14" s="80"/>
      <c r="AS14" s="80"/>
      <c r="AT14" s="80">
        <v>6.4768102002308398E-2</v>
      </c>
      <c r="AU14" s="267"/>
      <c r="AV14" s="250"/>
      <c r="AW14" s="250">
        <v>7.00890484236706E-2</v>
      </c>
      <c r="AX14" s="80">
        <v>7.0767951058226197E-2</v>
      </c>
      <c r="AY14" s="80"/>
      <c r="AZ14" s="267"/>
      <c r="BA14" s="241"/>
    </row>
    <row r="15" spans="1:53" ht="20.149999999999999" customHeight="1" collapsed="1">
      <c r="A15" s="251" t="s">
        <v>751</v>
      </c>
      <c r="B15" s="251" t="s">
        <v>752</v>
      </c>
      <c r="C15" s="240" t="s">
        <v>737</v>
      </c>
      <c r="D15" s="70" t="s">
        <v>737</v>
      </c>
      <c r="E15" s="70" t="s">
        <v>737</v>
      </c>
      <c r="F15" s="72">
        <v>8.4252884188563901E-2</v>
      </c>
      <c r="G15" s="271">
        <f>F15</f>
        <v>8.4252884188563901E-2</v>
      </c>
      <c r="H15" s="252">
        <v>8.6500864834109098E-2</v>
      </c>
      <c r="I15" s="72">
        <v>8.7995678097648605E-2</v>
      </c>
      <c r="J15" s="72">
        <v>8.95665783401738E-2</v>
      </c>
      <c r="K15" s="72">
        <v>9.1612274770678806E-2</v>
      </c>
      <c r="L15" s="271">
        <f>K15</f>
        <v>9.1612274770678806E-2</v>
      </c>
      <c r="M15" s="252">
        <v>9.0641340484564806E-2</v>
      </c>
      <c r="N15" s="72">
        <v>8.7627794752018207E-2</v>
      </c>
      <c r="O15" s="253">
        <f>8.8%</f>
        <v>8.8000000000000009E-2</v>
      </c>
      <c r="P15" s="72">
        <v>9.0976359886998898E-2</v>
      </c>
      <c r="Q15" s="271">
        <v>9.0999999999999998E-2</v>
      </c>
      <c r="R15" s="252">
        <v>9.5000000000000001E-2</v>
      </c>
      <c r="S15" s="72">
        <v>0.10100000000000001</v>
      </c>
      <c r="T15" s="72">
        <v>0.10199999999999999</v>
      </c>
      <c r="U15" s="72">
        <v>0.1</v>
      </c>
      <c r="V15" s="271">
        <v>0.1</v>
      </c>
      <c r="W15" s="252">
        <v>9.8000000000000004E-2</v>
      </c>
      <c r="X15" s="72">
        <v>0.09</v>
      </c>
      <c r="Y15" s="72">
        <v>8.5000000000000006E-2</v>
      </c>
      <c r="Z15" s="72">
        <v>8.3000000000000004E-2</v>
      </c>
      <c r="AA15" s="271">
        <v>8.3000000000000004E-2</v>
      </c>
      <c r="AB15" s="252">
        <v>8.5000000000000006E-2</v>
      </c>
      <c r="AC15" s="72">
        <v>8.5999999999999993E-2</v>
      </c>
      <c r="AD15" s="72">
        <v>8.7999999999999995E-2</v>
      </c>
      <c r="AE15" s="72">
        <v>8.7999999999999995E-2</v>
      </c>
      <c r="AF15" s="271">
        <v>8.7999999999999995E-2</v>
      </c>
      <c r="AG15" s="72">
        <v>8.5000000000000006E-2</v>
      </c>
      <c r="AH15" s="72">
        <v>8.3000000000000004E-2</v>
      </c>
      <c r="AI15" s="72">
        <v>7.9000000000000001E-2</v>
      </c>
      <c r="AJ15" s="72">
        <v>7.5999999999999998E-2</v>
      </c>
      <c r="AK15" s="271">
        <v>7.5999999999999998E-2</v>
      </c>
      <c r="AL15" s="72">
        <v>7.1999999999999995E-2</v>
      </c>
      <c r="AM15" s="72">
        <v>7.0000000000000007E-2</v>
      </c>
      <c r="AN15" s="72">
        <v>6.8000000000000005E-2</v>
      </c>
      <c r="AO15" s="72">
        <v>6.4000000000000001E-2</v>
      </c>
      <c r="AP15" s="271">
        <f>AO15:AO16</f>
        <v>6.4000000000000001E-2</v>
      </c>
      <c r="AQ15" s="72">
        <v>6.6000000000000003E-2</v>
      </c>
      <c r="AR15" s="72">
        <v>6.4000000000000001E-2</v>
      </c>
      <c r="AS15" s="72">
        <v>6.0999999999999999E-2</v>
      </c>
      <c r="AT15" s="72">
        <v>6.5000000000000002E-2</v>
      </c>
      <c r="AU15" s="271">
        <f>AT15</f>
        <v>6.5000000000000002E-2</v>
      </c>
      <c r="AV15" s="72">
        <v>6.7000000000000004E-2</v>
      </c>
      <c r="AW15" s="72">
        <v>7.00890484236706E-2</v>
      </c>
      <c r="AX15" s="72">
        <v>7.0999999999999994E-2</v>
      </c>
      <c r="AY15" s="72"/>
      <c r="AZ15" s="271">
        <f t="shared" ref="AZ15:AZ16" si="16">AX15</f>
        <v>7.0999999999999994E-2</v>
      </c>
      <c r="BA15" s="241"/>
    </row>
    <row r="16" spans="1:53" ht="20.149999999999999" customHeight="1" thickBot="1">
      <c r="A16" s="251" t="s">
        <v>753</v>
      </c>
      <c r="B16" s="251" t="s">
        <v>754</v>
      </c>
      <c r="C16" s="298">
        <f t="shared" ref="C16:N16" si="17">C7/C12</f>
        <v>1.8357205163713926</v>
      </c>
      <c r="D16" s="299">
        <f t="shared" si="17"/>
        <v>1.838453952262399</v>
      </c>
      <c r="E16" s="299">
        <f t="shared" si="17"/>
        <v>1.8475973638091163</v>
      </c>
      <c r="F16" s="299">
        <f t="shared" si="17"/>
        <v>1.858753959619053</v>
      </c>
      <c r="G16" s="272">
        <f t="shared" si="17"/>
        <v>1.858753959619053</v>
      </c>
      <c r="H16" s="298">
        <f t="shared" si="17"/>
        <v>1.8675770034475931</v>
      </c>
      <c r="I16" s="299">
        <f t="shared" si="17"/>
        <v>1.8819055770391591</v>
      </c>
      <c r="J16" s="299">
        <f t="shared" si="17"/>
        <v>1.8945540184106324</v>
      </c>
      <c r="K16" s="299">
        <f t="shared" si="17"/>
        <v>1.9051301772456453</v>
      </c>
      <c r="L16" s="272">
        <f t="shared" si="17"/>
        <v>1.9051301772456453</v>
      </c>
      <c r="M16" s="298">
        <f t="shared" si="17"/>
        <v>1.9139634115369908</v>
      </c>
      <c r="N16" s="299">
        <f t="shared" si="17"/>
        <v>1.9326723152825918</v>
      </c>
      <c r="O16" s="300">
        <v>1.98</v>
      </c>
      <c r="P16" s="299">
        <v>2.0099999999999998</v>
      </c>
      <c r="Q16" s="272">
        <v>2.0099999999999998</v>
      </c>
      <c r="R16" s="298">
        <f>R7/R12</f>
        <v>2.0423530760990696</v>
      </c>
      <c r="S16" s="299">
        <v>2.0699999999999998</v>
      </c>
      <c r="T16" s="299">
        <v>2.09</v>
      </c>
      <c r="U16" s="299">
        <v>2.13</v>
      </c>
      <c r="V16" s="272">
        <v>2.13</v>
      </c>
      <c r="W16" s="298">
        <v>2.16</v>
      </c>
      <c r="X16" s="299">
        <v>2.2000000000000002</v>
      </c>
      <c r="Y16" s="299">
        <v>2.2200000000000002</v>
      </c>
      <c r="Z16" s="299">
        <v>2.25</v>
      </c>
      <c r="AA16" s="272">
        <f>Z16</f>
        <v>2.25</v>
      </c>
      <c r="AB16" s="298">
        <v>2.2799999999999998</v>
      </c>
      <c r="AC16" s="299">
        <v>2.31</v>
      </c>
      <c r="AD16" s="299">
        <v>2.34</v>
      </c>
      <c r="AE16" s="299">
        <v>2.37</v>
      </c>
      <c r="AF16" s="272">
        <v>2.37</v>
      </c>
      <c r="AG16" s="299">
        <v>2.4</v>
      </c>
      <c r="AH16" s="299">
        <v>2.4300000000000002</v>
      </c>
      <c r="AI16" s="299">
        <v>2.46</v>
      </c>
      <c r="AJ16" s="299">
        <v>2.5</v>
      </c>
      <c r="AK16" s="272">
        <v>2.5</v>
      </c>
      <c r="AL16" s="299">
        <v>2.5299999999999998</v>
      </c>
      <c r="AM16" s="299">
        <v>2.56</v>
      </c>
      <c r="AN16" s="299">
        <v>2.58</v>
      </c>
      <c r="AO16" s="299">
        <v>2.61</v>
      </c>
      <c r="AP16" s="272">
        <f>AO16</f>
        <v>2.61</v>
      </c>
      <c r="AQ16" s="299">
        <v>2.64</v>
      </c>
      <c r="AR16" s="299">
        <v>2.68</v>
      </c>
      <c r="AS16" s="299">
        <v>2.72</v>
      </c>
      <c r="AT16" s="299">
        <v>2.77</v>
      </c>
      <c r="AU16" s="272">
        <f>AT16</f>
        <v>2.77</v>
      </c>
      <c r="AV16" s="299">
        <v>2.79</v>
      </c>
      <c r="AW16" s="299">
        <v>2.8187721034085502</v>
      </c>
      <c r="AX16" s="299">
        <v>2.84</v>
      </c>
      <c r="AY16" s="299"/>
      <c r="AZ16" s="272">
        <f t="shared" si="16"/>
        <v>2.84</v>
      </c>
      <c r="BA16" s="241"/>
    </row>
    <row r="17" spans="1:53" ht="20.149999999999999" customHeight="1" thickBot="1">
      <c r="A17" s="273" t="s">
        <v>755</v>
      </c>
      <c r="B17" s="274" t="s">
        <v>756</v>
      </c>
      <c r="C17" s="301">
        <f>C18+C20+C21</f>
        <v>11497022</v>
      </c>
      <c r="D17" s="302">
        <f t="shared" ref="D17:N17" si="18">D18+D20+D21</f>
        <v>11521707</v>
      </c>
      <c r="E17" s="302">
        <f t="shared" si="18"/>
        <v>11558288</v>
      </c>
      <c r="F17" s="302">
        <f t="shared" si="18"/>
        <v>11659474</v>
      </c>
      <c r="G17" s="303">
        <f t="shared" si="18"/>
        <v>11559122.75</v>
      </c>
      <c r="H17" s="301">
        <f t="shared" si="18"/>
        <v>11772318</v>
      </c>
      <c r="I17" s="302">
        <f t="shared" si="18"/>
        <v>11846507</v>
      </c>
      <c r="J17" s="302">
        <f t="shared" si="18"/>
        <v>11884574</v>
      </c>
      <c r="K17" s="302">
        <f t="shared" si="18"/>
        <v>11924710</v>
      </c>
      <c r="L17" s="303">
        <f t="shared" si="18"/>
        <v>11857027.25</v>
      </c>
      <c r="M17" s="301">
        <f t="shared" si="18"/>
        <v>11986199</v>
      </c>
      <c r="N17" s="302">
        <f t="shared" si="18"/>
        <v>11981389</v>
      </c>
      <c r="O17" s="302">
        <f>O18+O20+O21</f>
        <v>12125363</v>
      </c>
      <c r="P17" s="302">
        <f>P18+P20+P21</f>
        <v>12272311</v>
      </c>
      <c r="Q17" s="303">
        <f>Q18+Q20+Q21</f>
        <v>12091316</v>
      </c>
      <c r="R17" s="301">
        <f t="shared" ref="R17:AJ17" si="19">R18+R20+R21</f>
        <v>12376603</v>
      </c>
      <c r="S17" s="302">
        <f t="shared" si="19"/>
        <v>12391326</v>
      </c>
      <c r="T17" s="302">
        <f t="shared" si="19"/>
        <v>12378586</v>
      </c>
      <c r="U17" s="302">
        <f t="shared" si="19"/>
        <v>12496080</v>
      </c>
      <c r="V17" s="303">
        <f t="shared" si="19"/>
        <v>12410649</v>
      </c>
      <c r="W17" s="301">
        <f t="shared" si="19"/>
        <v>12675864</v>
      </c>
      <c r="X17" s="302">
        <f t="shared" si="19"/>
        <v>12809438</v>
      </c>
      <c r="Y17" s="302">
        <f t="shared" si="19"/>
        <v>12940680</v>
      </c>
      <c r="Z17" s="302">
        <f t="shared" si="19"/>
        <v>13119033</v>
      </c>
      <c r="AA17" s="303">
        <f t="shared" si="19"/>
        <v>12886254</v>
      </c>
      <c r="AB17" s="301">
        <f t="shared" si="19"/>
        <v>13313971</v>
      </c>
      <c r="AC17" s="302">
        <f t="shared" si="19"/>
        <v>13379081</v>
      </c>
      <c r="AD17" s="302">
        <f t="shared" si="19"/>
        <v>13467835</v>
      </c>
      <c r="AE17" s="302">
        <f t="shared" si="19"/>
        <v>13596202</v>
      </c>
      <c r="AF17" s="303">
        <f t="shared" si="19"/>
        <v>13439272</v>
      </c>
      <c r="AG17" s="302">
        <f t="shared" si="19"/>
        <v>13741811</v>
      </c>
      <c r="AH17" s="302">
        <f t="shared" si="19"/>
        <v>13858205</v>
      </c>
      <c r="AI17" s="302">
        <f t="shared" si="19"/>
        <v>13995952</v>
      </c>
      <c r="AJ17" s="302">
        <f t="shared" si="19"/>
        <v>14159632</v>
      </c>
      <c r="AK17" s="303">
        <f>AK18+AK20+AK21</f>
        <v>13938900</v>
      </c>
      <c r="AL17" s="302">
        <f>AL18+AL20+AL21</f>
        <v>14283823</v>
      </c>
      <c r="AM17" s="302">
        <f t="shared" ref="AM17:AP17" si="20">AM18+AM20+AM21</f>
        <v>14381445</v>
      </c>
      <c r="AN17" s="302">
        <f t="shared" si="20"/>
        <v>14515058</v>
      </c>
      <c r="AO17" s="302">
        <f t="shared" si="20"/>
        <v>14660255</v>
      </c>
      <c r="AP17" s="306">
        <f t="shared" si="20"/>
        <v>14460145</v>
      </c>
      <c r="AQ17" s="302">
        <f>AQ18+AQ20+AQ21</f>
        <v>14774076</v>
      </c>
      <c r="AR17" s="302">
        <f t="shared" ref="AR17:AU17" si="21">AR18+AR20+AR21</f>
        <v>14867672</v>
      </c>
      <c r="AS17" s="302">
        <f t="shared" si="21"/>
        <v>15080830</v>
      </c>
      <c r="AT17" s="302">
        <f t="shared" si="21"/>
        <v>15265725</v>
      </c>
      <c r="AU17" s="306">
        <f t="shared" si="21"/>
        <v>14997076</v>
      </c>
      <c r="AV17" s="302">
        <f>AV18+AV20+AV21</f>
        <v>15350346</v>
      </c>
      <c r="AW17" s="302">
        <f t="shared" ref="AW17:AZ17" si="22">AW18+AW20+AW21</f>
        <v>15390843.999999998</v>
      </c>
      <c r="AX17" s="302">
        <f t="shared" si="22"/>
        <v>15454487</v>
      </c>
      <c r="AY17" s="302">
        <f t="shared" si="22"/>
        <v>0</v>
      </c>
      <c r="AZ17" s="306">
        <f t="shared" si="22"/>
        <v>15398559.11111111</v>
      </c>
      <c r="BA17" s="241"/>
    </row>
    <row r="18" spans="1:53" ht="20.149999999999999" customHeight="1">
      <c r="A18" s="242" t="s">
        <v>742</v>
      </c>
      <c r="B18" s="242" t="s">
        <v>743</v>
      </c>
      <c r="C18" s="240">
        <v>3858338</v>
      </c>
      <c r="D18" s="70">
        <v>3879834</v>
      </c>
      <c r="E18" s="70">
        <v>3894623</v>
      </c>
      <c r="F18" s="70">
        <v>3955082</v>
      </c>
      <c r="G18" s="283">
        <f>AVERAGE(C18:F18)</f>
        <v>3896969.25</v>
      </c>
      <c r="H18" s="240">
        <v>4018307</v>
      </c>
      <c r="I18" s="70">
        <v>4098051</v>
      </c>
      <c r="J18" s="70">
        <v>4144131</v>
      </c>
      <c r="K18" s="70">
        <v>4175145</v>
      </c>
      <c r="L18" s="283">
        <f>AVERAGE(H18:K18)</f>
        <v>4108908.5</v>
      </c>
      <c r="M18" s="240">
        <v>4227450</v>
      </c>
      <c r="N18" s="70">
        <v>4243880</v>
      </c>
      <c r="O18" s="243">
        <v>4301558</v>
      </c>
      <c r="P18" s="70">
        <v>4361890</v>
      </c>
      <c r="Q18" s="283">
        <v>4283695</v>
      </c>
      <c r="R18" s="240">
        <v>4403541</v>
      </c>
      <c r="S18" s="70">
        <v>4397999</v>
      </c>
      <c r="T18" s="70">
        <v>4376405</v>
      </c>
      <c r="U18" s="70">
        <v>4441918</v>
      </c>
      <c r="V18" s="283">
        <v>4404966</v>
      </c>
      <c r="W18" s="240">
        <v>4532806</v>
      </c>
      <c r="X18" s="70">
        <v>4595313</v>
      </c>
      <c r="Y18" s="70">
        <v>4654591</v>
      </c>
      <c r="Z18" s="70">
        <v>4712813</v>
      </c>
      <c r="AA18" s="283">
        <v>4623881</v>
      </c>
      <c r="AB18" s="240">
        <v>4781680</v>
      </c>
      <c r="AC18" s="70">
        <v>4817543</v>
      </c>
      <c r="AD18" s="70">
        <v>4856979</v>
      </c>
      <c r="AE18" s="70">
        <v>4905839</v>
      </c>
      <c r="AF18" s="283">
        <v>4840510</v>
      </c>
      <c r="AG18" s="70">
        <v>4963830</v>
      </c>
      <c r="AH18" s="70">
        <v>5013604</v>
      </c>
      <c r="AI18" s="70">
        <v>5029344</v>
      </c>
      <c r="AJ18" s="70">
        <v>5070219</v>
      </c>
      <c r="AK18" s="283">
        <v>5019249</v>
      </c>
      <c r="AL18" s="70">
        <v>5090723</v>
      </c>
      <c r="AM18" s="70">
        <v>5066146</v>
      </c>
      <c r="AN18" s="70">
        <v>5036833</v>
      </c>
      <c r="AO18" s="70">
        <v>5039351</v>
      </c>
      <c r="AP18" s="283">
        <v>5058263</v>
      </c>
      <c r="AQ18" s="70">
        <v>5018607</v>
      </c>
      <c r="AR18" s="70">
        <v>4995884</v>
      </c>
      <c r="AS18" s="70">
        <v>5007407</v>
      </c>
      <c r="AT18" s="70">
        <v>5009102</v>
      </c>
      <c r="AU18" s="283">
        <v>5007750</v>
      </c>
      <c r="AV18" s="70">
        <v>4996954</v>
      </c>
      <c r="AW18" s="70">
        <v>4973593.833333333</v>
      </c>
      <c r="AX18" s="70">
        <v>4944068</v>
      </c>
      <c r="AY18" s="70"/>
      <c r="AZ18" s="283">
        <v>4971538.5</v>
      </c>
      <c r="BA18" s="241"/>
    </row>
    <row r="19" spans="1:53" ht="20.149999999999999" customHeight="1">
      <c r="A19" s="244" t="s">
        <v>744</v>
      </c>
      <c r="B19" s="244" t="s">
        <v>744</v>
      </c>
      <c r="C19" s="245">
        <v>358652</v>
      </c>
      <c r="D19" s="79">
        <v>406943</v>
      </c>
      <c r="E19" s="79">
        <v>443743.5</v>
      </c>
      <c r="F19" s="79">
        <v>494506</v>
      </c>
      <c r="G19" s="304">
        <f>AVERAGE(C19:F19)</f>
        <v>425961.125</v>
      </c>
      <c r="H19" s="245">
        <v>535271</v>
      </c>
      <c r="I19" s="79">
        <v>600411</v>
      </c>
      <c r="J19" s="79">
        <v>658475</v>
      </c>
      <c r="K19" s="79">
        <v>697978</v>
      </c>
      <c r="L19" s="304">
        <f t="shared" ref="L19:L21" si="23">AVERAGE(H19:K19)</f>
        <v>623033.75</v>
      </c>
      <c r="M19" s="254">
        <v>736315</v>
      </c>
      <c r="N19" s="79">
        <v>759922</v>
      </c>
      <c r="O19" s="246">
        <v>787736</v>
      </c>
      <c r="P19" s="79">
        <v>822568</v>
      </c>
      <c r="Q19" s="304">
        <v>776635</v>
      </c>
      <c r="R19" s="254">
        <v>860827</v>
      </c>
      <c r="S19" s="79">
        <v>881296</v>
      </c>
      <c r="T19" s="79">
        <v>893001</v>
      </c>
      <c r="U19" s="79">
        <v>915940</v>
      </c>
      <c r="V19" s="304">
        <v>887766</v>
      </c>
      <c r="W19" s="254">
        <v>948366</v>
      </c>
      <c r="X19" s="73">
        <v>964197</v>
      </c>
      <c r="Y19" s="73">
        <v>977142</v>
      </c>
      <c r="Z19" s="79">
        <v>995820</v>
      </c>
      <c r="AA19" s="304">
        <v>971381</v>
      </c>
      <c r="AB19" s="254">
        <v>1029294</v>
      </c>
      <c r="AC19" s="70">
        <v>1051692</v>
      </c>
      <c r="AD19" s="73">
        <v>1064544</v>
      </c>
      <c r="AE19" s="73">
        <v>1082951</v>
      </c>
      <c r="AF19" s="304">
        <v>1057120</v>
      </c>
      <c r="AG19" s="73">
        <v>1108316</v>
      </c>
      <c r="AH19" s="73">
        <v>1121333</v>
      </c>
      <c r="AI19" s="73">
        <v>1134327</v>
      </c>
      <c r="AJ19" s="73">
        <v>1149795</v>
      </c>
      <c r="AK19" s="304">
        <v>1128443</v>
      </c>
      <c r="AL19" s="73">
        <v>1164591</v>
      </c>
      <c r="AM19" s="73">
        <v>1171425</v>
      </c>
      <c r="AN19" s="73">
        <v>1177222</v>
      </c>
      <c r="AO19" s="73">
        <v>1185919</v>
      </c>
      <c r="AP19" s="304">
        <v>1174789</v>
      </c>
      <c r="AQ19" s="73">
        <v>1193663</v>
      </c>
      <c r="AR19" s="73">
        <v>1193706</v>
      </c>
      <c r="AS19" s="73">
        <v>1199160</v>
      </c>
      <c r="AT19" s="73">
        <v>1203210</v>
      </c>
      <c r="AU19" s="304">
        <v>1197435</v>
      </c>
      <c r="AV19" s="73">
        <v>1207961</v>
      </c>
      <c r="AW19" s="73">
        <v>1204404.5</v>
      </c>
      <c r="AX19" s="73">
        <v>1201462</v>
      </c>
      <c r="AY19" s="73"/>
      <c r="AZ19" s="304">
        <v>1204609.1666666667</v>
      </c>
      <c r="BA19" s="241"/>
    </row>
    <row r="20" spans="1:53" ht="20.149999999999999" customHeight="1">
      <c r="A20" s="242" t="s">
        <v>630</v>
      </c>
      <c r="B20" s="242" t="s">
        <v>631</v>
      </c>
      <c r="C20" s="240">
        <v>6986951</v>
      </c>
      <c r="D20" s="70">
        <v>6977393</v>
      </c>
      <c r="E20" s="70">
        <v>6978772</v>
      </c>
      <c r="F20" s="70">
        <v>6974525</v>
      </c>
      <c r="G20" s="283">
        <f t="shared" ref="G20:G21" si="24">AVERAGE(C20:F20)</f>
        <v>6979410.25</v>
      </c>
      <c r="H20" s="240">
        <v>6965606</v>
      </c>
      <c r="I20" s="70">
        <v>6917102</v>
      </c>
      <c r="J20" s="70">
        <v>6862047</v>
      </c>
      <c r="K20" s="70">
        <v>6801845</v>
      </c>
      <c r="L20" s="283">
        <f t="shared" si="23"/>
        <v>6886650</v>
      </c>
      <c r="M20" s="255">
        <v>6749396</v>
      </c>
      <c r="N20" s="70">
        <v>6670820</v>
      </c>
      <c r="O20" s="243">
        <v>6628199</v>
      </c>
      <c r="P20" s="70">
        <v>6597742</v>
      </c>
      <c r="Q20" s="283">
        <v>6661539</v>
      </c>
      <c r="R20" s="255">
        <v>6570344</v>
      </c>
      <c r="S20" s="70">
        <v>6532488</v>
      </c>
      <c r="T20" s="70">
        <v>6508391</v>
      </c>
      <c r="U20" s="70">
        <v>6502872</v>
      </c>
      <c r="V20" s="283">
        <v>6528524</v>
      </c>
      <c r="W20" s="255">
        <v>6523316</v>
      </c>
      <c r="X20" s="74">
        <v>6546774</v>
      </c>
      <c r="Y20" s="74">
        <v>6579908</v>
      </c>
      <c r="Z20" s="70">
        <v>6667869</v>
      </c>
      <c r="AA20" s="283">
        <v>6579467</v>
      </c>
      <c r="AB20" s="255">
        <v>6769379</v>
      </c>
      <c r="AC20" s="70">
        <v>6790804</v>
      </c>
      <c r="AD20" s="74">
        <v>6836282</v>
      </c>
      <c r="AE20" s="74">
        <v>6894295</v>
      </c>
      <c r="AF20" s="283">
        <v>6822690</v>
      </c>
      <c r="AG20" s="74">
        <v>6963584</v>
      </c>
      <c r="AH20" s="74">
        <v>7036346</v>
      </c>
      <c r="AI20" s="74">
        <v>7161022</v>
      </c>
      <c r="AJ20" s="74">
        <v>7276732</v>
      </c>
      <c r="AK20" s="283">
        <v>7109421</v>
      </c>
      <c r="AL20" s="74">
        <v>7384746</v>
      </c>
      <c r="AM20" s="74">
        <v>7519107</v>
      </c>
      <c r="AN20" s="74">
        <v>7679532</v>
      </c>
      <c r="AO20" s="74">
        <v>7823962</v>
      </c>
      <c r="AP20" s="283">
        <v>7601837</v>
      </c>
      <c r="AQ20" s="74">
        <v>7964689</v>
      </c>
      <c r="AR20" s="74">
        <v>8082768</v>
      </c>
      <c r="AS20" s="74">
        <v>8283242</v>
      </c>
      <c r="AT20" s="74">
        <v>8452883</v>
      </c>
      <c r="AU20" s="283">
        <v>8195896</v>
      </c>
      <c r="AV20" s="74">
        <v>8529814</v>
      </c>
      <c r="AW20" s="74">
        <v>8598959</v>
      </c>
      <c r="AX20" s="74">
        <v>8715614</v>
      </c>
      <c r="AY20" s="73"/>
      <c r="AZ20" s="283">
        <v>8614795.666666666</v>
      </c>
      <c r="BA20" s="241"/>
    </row>
    <row r="21" spans="1:53" ht="20.149999999999999" customHeight="1" thickBot="1">
      <c r="A21" s="242" t="s">
        <v>633</v>
      </c>
      <c r="B21" s="242" t="s">
        <v>633</v>
      </c>
      <c r="C21" s="240">
        <v>651733</v>
      </c>
      <c r="D21" s="70">
        <v>664480</v>
      </c>
      <c r="E21" s="70">
        <v>684893</v>
      </c>
      <c r="F21" s="70">
        <v>729867</v>
      </c>
      <c r="G21" s="283">
        <f t="shared" si="24"/>
        <v>682743.25</v>
      </c>
      <c r="H21" s="240">
        <v>788405</v>
      </c>
      <c r="I21" s="70">
        <v>831354</v>
      </c>
      <c r="J21" s="70">
        <v>878396</v>
      </c>
      <c r="K21" s="70">
        <v>947720</v>
      </c>
      <c r="L21" s="283">
        <f t="shared" si="23"/>
        <v>861468.75</v>
      </c>
      <c r="M21" s="255">
        <v>1009353</v>
      </c>
      <c r="N21" s="70">
        <v>1066689</v>
      </c>
      <c r="O21" s="243">
        <v>1195606</v>
      </c>
      <c r="P21" s="70">
        <v>1312679</v>
      </c>
      <c r="Q21" s="283">
        <v>1146082</v>
      </c>
      <c r="R21" s="255">
        <v>1402718</v>
      </c>
      <c r="S21" s="70">
        <v>1460839</v>
      </c>
      <c r="T21" s="70">
        <v>1493790</v>
      </c>
      <c r="U21" s="70">
        <v>1551290</v>
      </c>
      <c r="V21" s="283">
        <v>1477159</v>
      </c>
      <c r="W21" s="255">
        <v>1619742</v>
      </c>
      <c r="X21" s="74">
        <v>1667351</v>
      </c>
      <c r="Y21" s="74">
        <v>1706181</v>
      </c>
      <c r="Z21" s="70">
        <v>1738351</v>
      </c>
      <c r="AA21" s="283">
        <v>1682906</v>
      </c>
      <c r="AB21" s="255">
        <v>1762912</v>
      </c>
      <c r="AC21" s="70">
        <v>1770734</v>
      </c>
      <c r="AD21" s="74">
        <v>1774574</v>
      </c>
      <c r="AE21" s="74">
        <v>1796068</v>
      </c>
      <c r="AF21" s="283">
        <v>1776072</v>
      </c>
      <c r="AG21" s="74">
        <v>1814397</v>
      </c>
      <c r="AH21" s="74">
        <v>1808255</v>
      </c>
      <c r="AI21" s="74">
        <v>1805586</v>
      </c>
      <c r="AJ21" s="74">
        <v>1812681</v>
      </c>
      <c r="AK21" s="283">
        <v>1810230</v>
      </c>
      <c r="AL21" s="74">
        <v>1808354</v>
      </c>
      <c r="AM21" s="74">
        <v>1796192</v>
      </c>
      <c r="AN21" s="74">
        <v>1798693</v>
      </c>
      <c r="AO21" s="74">
        <v>1796942</v>
      </c>
      <c r="AP21" s="283">
        <v>1800045</v>
      </c>
      <c r="AQ21" s="74">
        <v>1790780</v>
      </c>
      <c r="AR21" s="74">
        <v>1789020</v>
      </c>
      <c r="AS21" s="74">
        <v>1790181</v>
      </c>
      <c r="AT21" s="74">
        <v>1803740</v>
      </c>
      <c r="AU21" s="283">
        <v>1793430</v>
      </c>
      <c r="AV21" s="74">
        <v>1823578</v>
      </c>
      <c r="AW21" s="74">
        <v>1818291.1666666667</v>
      </c>
      <c r="AX21" s="74">
        <v>1794805</v>
      </c>
      <c r="AY21" s="74"/>
      <c r="AZ21" s="283">
        <v>1812224.9444444445</v>
      </c>
      <c r="BA21" s="241"/>
    </row>
    <row r="22" spans="1:53" ht="20.149999999999999" customHeight="1">
      <c r="A22" s="291" t="s">
        <v>757</v>
      </c>
      <c r="B22" s="292" t="s">
        <v>758</v>
      </c>
      <c r="C22" s="293">
        <v>6288609</v>
      </c>
      <c r="D22" s="294">
        <v>6272029</v>
      </c>
      <c r="E22" s="294">
        <v>6271838</v>
      </c>
      <c r="F22" s="294">
        <v>6291791</v>
      </c>
      <c r="G22" s="295">
        <f>AVERAGE(C22:F22)</f>
        <v>6281066.75</v>
      </c>
      <c r="H22" s="293">
        <v>6316275</v>
      </c>
      <c r="I22" s="294">
        <v>6317333</v>
      </c>
      <c r="J22" s="294">
        <v>6293472</v>
      </c>
      <c r="K22" s="294">
        <v>6279979</v>
      </c>
      <c r="L22" s="295">
        <f>AVERAGE(H22:K22)</f>
        <v>6301764.75</v>
      </c>
      <c r="M22" s="293">
        <v>6274951</v>
      </c>
      <c r="N22" s="294">
        <v>6242450</v>
      </c>
      <c r="O22" s="294">
        <v>6201335</v>
      </c>
      <c r="P22" s="294">
        <v>6159902.666666667</v>
      </c>
      <c r="Q22" s="295">
        <v>6219660</v>
      </c>
      <c r="R22" s="293">
        <v>6105250</v>
      </c>
      <c r="S22" s="294">
        <v>6031638</v>
      </c>
      <c r="T22" s="294">
        <v>5960463</v>
      </c>
      <c r="U22" s="294">
        <v>5922397</v>
      </c>
      <c r="V22" s="295">
        <v>6004937</v>
      </c>
      <c r="W22" s="293">
        <v>5902526</v>
      </c>
      <c r="X22" s="294">
        <v>5876458</v>
      </c>
      <c r="Y22" s="294">
        <v>5858477</v>
      </c>
      <c r="Z22" s="294">
        <v>5868541</v>
      </c>
      <c r="AA22" s="295">
        <v>5876500</v>
      </c>
      <c r="AB22" s="293">
        <v>5872517</v>
      </c>
      <c r="AC22" s="294">
        <v>5828405</v>
      </c>
      <c r="AD22" s="294">
        <v>5803517</v>
      </c>
      <c r="AE22" s="294">
        <v>5781207</v>
      </c>
      <c r="AF22" s="295">
        <v>5821411</v>
      </c>
      <c r="AG22" s="294">
        <v>5760338</v>
      </c>
      <c r="AH22" s="294">
        <v>5732091</v>
      </c>
      <c r="AI22" s="294">
        <v>5717882</v>
      </c>
      <c r="AJ22" s="294">
        <v>5708353</v>
      </c>
      <c r="AK22" s="295">
        <v>5729666</v>
      </c>
      <c r="AL22" s="294">
        <v>5688071</v>
      </c>
      <c r="AM22" s="294">
        <v>5662168</v>
      </c>
      <c r="AN22" s="294">
        <v>5649225</v>
      </c>
      <c r="AO22" s="294">
        <v>5641301</v>
      </c>
      <c r="AP22" s="295">
        <v>5660191</v>
      </c>
      <c r="AQ22" s="294">
        <v>5625993</v>
      </c>
      <c r="AR22" s="294">
        <v>5591571</v>
      </c>
      <c r="AS22" s="294">
        <v>5579661</v>
      </c>
      <c r="AT22" s="294">
        <v>5558348</v>
      </c>
      <c r="AU22" s="295">
        <v>5588893</v>
      </c>
      <c r="AV22" s="294">
        <v>5526063</v>
      </c>
      <c r="AW22" s="294">
        <v>5487976.333333333</v>
      </c>
      <c r="AX22" s="294">
        <v>5461033</v>
      </c>
      <c r="AY22" s="294"/>
      <c r="AZ22" s="295">
        <v>5491690.888888889</v>
      </c>
      <c r="BA22" s="241"/>
    </row>
    <row r="23" spans="1:53" s="263" customFormat="1" ht="20.149999999999999" customHeight="1" thickBot="1">
      <c r="A23" s="296" t="s">
        <v>645</v>
      </c>
      <c r="B23" s="296" t="s">
        <v>646</v>
      </c>
      <c r="C23" s="285"/>
      <c r="D23" s="286"/>
      <c r="E23" s="286"/>
      <c r="F23" s="286"/>
      <c r="G23" s="297"/>
      <c r="H23" s="285"/>
      <c r="I23" s="286"/>
      <c r="J23" s="286"/>
      <c r="K23" s="286"/>
      <c r="L23" s="297"/>
      <c r="M23" s="289"/>
      <c r="N23" s="286"/>
      <c r="O23" s="286"/>
      <c r="P23" s="286"/>
      <c r="Q23" s="297"/>
      <c r="R23" s="289"/>
      <c r="S23" s="286"/>
      <c r="T23" s="286"/>
      <c r="U23" s="286"/>
      <c r="V23" s="297"/>
      <c r="W23" s="289"/>
      <c r="X23" s="290"/>
      <c r="Y23" s="290"/>
      <c r="Z23" s="286"/>
      <c r="AA23" s="297"/>
      <c r="AB23" s="289"/>
      <c r="AC23" s="290"/>
      <c r="AD23" s="290"/>
      <c r="AE23" s="286"/>
      <c r="AF23" s="297"/>
      <c r="AG23" s="290"/>
      <c r="AH23" s="290"/>
      <c r="AI23" s="290"/>
      <c r="AJ23" s="290"/>
      <c r="AK23" s="297"/>
      <c r="AL23" s="290"/>
      <c r="AM23" s="290"/>
      <c r="AN23" s="290"/>
      <c r="AO23" s="290"/>
      <c r="AP23" s="297"/>
      <c r="AQ23" s="290"/>
      <c r="AR23" s="290"/>
      <c r="AS23" s="290"/>
      <c r="AT23" s="290"/>
      <c r="AU23" s="297"/>
      <c r="AV23" s="290"/>
      <c r="AW23" s="290"/>
      <c r="AX23" s="290"/>
      <c r="AY23" s="290"/>
      <c r="AZ23" s="297"/>
    </row>
    <row r="24" spans="1:53" s="241" customFormat="1" ht="20.149999999999999" customHeight="1" thickBot="1">
      <c r="A24" s="310" t="s">
        <v>740</v>
      </c>
      <c r="B24" s="311" t="s">
        <v>759</v>
      </c>
      <c r="C24" s="275" t="s">
        <v>737</v>
      </c>
      <c r="D24" s="276" t="s">
        <v>737</v>
      </c>
      <c r="E24" s="276" t="s">
        <v>737</v>
      </c>
      <c r="F24" s="276" t="s">
        <v>737</v>
      </c>
      <c r="G24" s="284" t="s">
        <v>737</v>
      </c>
      <c r="H24" s="275">
        <f>SUM(H25:H27)</f>
        <v>4548385</v>
      </c>
      <c r="I24" s="276">
        <f t="shared" ref="I24:N24" si="25">SUM(I25:I27)</f>
        <v>4565319</v>
      </c>
      <c r="J24" s="276">
        <f t="shared" si="25"/>
        <v>4719129</v>
      </c>
      <c r="K24" s="276">
        <f t="shared" si="25"/>
        <v>4468527</v>
      </c>
      <c r="L24" s="284">
        <f t="shared" si="25"/>
        <v>4468527</v>
      </c>
      <c r="M24" s="275">
        <f t="shared" si="25"/>
        <v>4350325</v>
      </c>
      <c r="N24" s="276">
        <f t="shared" si="25"/>
        <v>4227128</v>
      </c>
      <c r="O24" s="276">
        <f>SUM(O25:O27)</f>
        <v>4219194</v>
      </c>
      <c r="P24" s="276">
        <f>SUM(P25:P27)</f>
        <v>4134203</v>
      </c>
      <c r="Q24" s="284">
        <f>SUM(Q25:Q27)</f>
        <v>4134203</v>
      </c>
      <c r="R24" s="275">
        <f t="shared" ref="R24:AK24" si="26">SUM(R25:R27)</f>
        <v>4034757</v>
      </c>
      <c r="S24" s="276">
        <f t="shared" si="26"/>
        <v>3972069</v>
      </c>
      <c r="T24" s="276">
        <f t="shared" si="26"/>
        <v>3976807</v>
      </c>
      <c r="U24" s="276">
        <f t="shared" si="26"/>
        <v>3854993</v>
      </c>
      <c r="V24" s="284">
        <f t="shared" si="26"/>
        <v>3854993</v>
      </c>
      <c r="W24" s="275">
        <f t="shared" si="26"/>
        <v>3787667</v>
      </c>
      <c r="X24" s="276">
        <f t="shared" si="26"/>
        <v>3830816</v>
      </c>
      <c r="Y24" s="276">
        <f t="shared" si="26"/>
        <v>3527904</v>
      </c>
      <c r="Z24" s="276">
        <f t="shared" si="26"/>
        <v>3270338</v>
      </c>
      <c r="AA24" s="284">
        <f t="shared" si="26"/>
        <v>3270338</v>
      </c>
      <c r="AB24" s="275">
        <f t="shared" si="26"/>
        <v>2879090</v>
      </c>
      <c r="AC24" s="276">
        <f t="shared" si="26"/>
        <v>2854301</v>
      </c>
      <c r="AD24" s="276">
        <f t="shared" si="26"/>
        <v>2880161</v>
      </c>
      <c r="AE24" s="276">
        <f t="shared" si="26"/>
        <v>2837553</v>
      </c>
      <c r="AF24" s="284">
        <f t="shared" si="26"/>
        <v>2837553</v>
      </c>
      <c r="AG24" s="276">
        <f t="shared" si="26"/>
        <v>2783184</v>
      </c>
      <c r="AH24" s="276">
        <f t="shared" si="26"/>
        <v>2768818</v>
      </c>
      <c r="AI24" s="276">
        <f>SUM(AI25:AI27)</f>
        <v>2794108</v>
      </c>
      <c r="AJ24" s="276">
        <f t="shared" si="26"/>
        <v>2646869</v>
      </c>
      <c r="AK24" s="284">
        <f t="shared" si="26"/>
        <v>2646869</v>
      </c>
      <c r="AL24" s="276">
        <f>SUM(AL25:AL27)</f>
        <v>2642775</v>
      </c>
      <c r="AM24" s="276">
        <f t="shared" ref="AM24:AP24" si="27">SUM(AM25:AM27)</f>
        <v>2607311</v>
      </c>
      <c r="AN24" s="276">
        <f t="shared" si="27"/>
        <v>2678890</v>
      </c>
      <c r="AO24" s="276">
        <f t="shared" si="27"/>
        <v>2657494</v>
      </c>
      <c r="AP24" s="284">
        <f t="shared" si="27"/>
        <v>2657494</v>
      </c>
      <c r="AQ24" s="276">
        <f>SUM(AQ25:AQ27)</f>
        <v>2638638</v>
      </c>
      <c r="AR24" s="276">
        <f>SUM(AR25:AR27)</f>
        <v>2525224</v>
      </c>
      <c r="AS24" s="276">
        <f t="shared" ref="AS24:AU24" si="28">SUM(AS25:AS27)</f>
        <v>2671239</v>
      </c>
      <c r="AT24" s="276">
        <f t="shared" si="28"/>
        <v>2617813</v>
      </c>
      <c r="AU24" s="284">
        <f t="shared" si="28"/>
        <v>2617813</v>
      </c>
      <c r="AV24" s="276">
        <f>SUM(AV25:AV27)</f>
        <v>2736095</v>
      </c>
      <c r="AW24" s="276">
        <f>SUM(AW25:AW27)</f>
        <v>2595890</v>
      </c>
      <c r="AX24" s="276">
        <f t="shared" ref="AX24:AY24" si="29">SUM(AX25:AX27)</f>
        <v>2630714</v>
      </c>
      <c r="AY24" s="276">
        <f t="shared" si="29"/>
        <v>0</v>
      </c>
      <c r="AZ24" s="284">
        <f>SUM(AZ25:AZ27)</f>
        <v>2630714</v>
      </c>
    </row>
    <row r="25" spans="1:53" s="241" customFormat="1" ht="20.149999999999999" customHeight="1">
      <c r="A25" s="307" t="s">
        <v>649</v>
      </c>
      <c r="B25" s="307" t="s">
        <v>650</v>
      </c>
      <c r="C25" s="240" t="s">
        <v>737</v>
      </c>
      <c r="D25" s="70" t="s">
        <v>737</v>
      </c>
      <c r="E25" s="70" t="s">
        <v>737</v>
      </c>
      <c r="F25" s="70" t="s">
        <v>737</v>
      </c>
      <c r="G25" s="283" t="s">
        <v>737</v>
      </c>
      <c r="H25" s="240">
        <v>85574</v>
      </c>
      <c r="I25" s="70">
        <v>81441</v>
      </c>
      <c r="J25" s="70">
        <v>84538</v>
      </c>
      <c r="K25" s="70">
        <v>77771</v>
      </c>
      <c r="L25" s="283">
        <f>K25</f>
        <v>77771</v>
      </c>
      <c r="M25" s="240">
        <v>81619</v>
      </c>
      <c r="N25" s="70">
        <v>66578</v>
      </c>
      <c r="O25" s="243">
        <v>98136</v>
      </c>
      <c r="P25" s="70">
        <v>122787</v>
      </c>
      <c r="Q25" s="283">
        <v>122787</v>
      </c>
      <c r="R25" s="240">
        <v>66163</v>
      </c>
      <c r="S25" s="70">
        <v>41517</v>
      </c>
      <c r="T25" s="70">
        <v>60471</v>
      </c>
      <c r="U25" s="70">
        <v>31972</v>
      </c>
      <c r="V25" s="283">
        <f>U25</f>
        <v>31972</v>
      </c>
      <c r="W25" s="240">
        <v>35754</v>
      </c>
      <c r="X25" s="70">
        <v>73544</v>
      </c>
      <c r="Y25" s="70">
        <v>44913</v>
      </c>
      <c r="Z25" s="70">
        <v>79306</v>
      </c>
      <c r="AA25" s="283">
        <f>Z25</f>
        <v>79306</v>
      </c>
      <c r="AB25" s="240">
        <v>48224</v>
      </c>
      <c r="AC25" s="70">
        <v>57183</v>
      </c>
      <c r="AD25" s="70">
        <v>63627</v>
      </c>
      <c r="AE25" s="70">
        <v>79561</v>
      </c>
      <c r="AF25" s="283">
        <f>AE25</f>
        <v>79561</v>
      </c>
      <c r="AG25" s="70">
        <v>75159</v>
      </c>
      <c r="AH25" s="70">
        <v>59722</v>
      </c>
      <c r="AI25" s="70">
        <v>91261</v>
      </c>
      <c r="AJ25" s="70">
        <v>95685</v>
      </c>
      <c r="AK25" s="283">
        <v>95685</v>
      </c>
      <c r="AL25" s="70">
        <v>144586</v>
      </c>
      <c r="AM25" s="70">
        <v>87176</v>
      </c>
      <c r="AN25" s="70">
        <v>142886</v>
      </c>
      <c r="AO25" s="70">
        <v>161208</v>
      </c>
      <c r="AP25" s="283">
        <v>161208</v>
      </c>
      <c r="AQ25" s="70">
        <v>171958</v>
      </c>
      <c r="AR25" s="70">
        <v>93292</v>
      </c>
      <c r="AS25" s="70">
        <v>158060</v>
      </c>
      <c r="AT25" s="70">
        <v>114416</v>
      </c>
      <c r="AU25" s="283">
        <f>AT25</f>
        <v>114416</v>
      </c>
      <c r="AV25" s="70">
        <v>224608</v>
      </c>
      <c r="AW25" s="70">
        <v>135476</v>
      </c>
      <c r="AX25" s="70">
        <v>144885</v>
      </c>
      <c r="AY25" s="70"/>
      <c r="AZ25" s="283">
        <f t="shared" ref="AZ25:AZ27" si="30">AX25</f>
        <v>144885</v>
      </c>
    </row>
    <row r="26" spans="1:53" s="241" customFormat="1" ht="20.149999999999999" customHeight="1">
      <c r="A26" s="307" t="s">
        <v>630</v>
      </c>
      <c r="B26" s="307" t="s">
        <v>651</v>
      </c>
      <c r="C26" s="240" t="s">
        <v>737</v>
      </c>
      <c r="D26" s="70" t="s">
        <v>737</v>
      </c>
      <c r="E26" s="70" t="s">
        <v>737</v>
      </c>
      <c r="F26" s="70" t="s">
        <v>737</v>
      </c>
      <c r="G26" s="283" t="s">
        <v>737</v>
      </c>
      <c r="H26" s="240">
        <v>4385742</v>
      </c>
      <c r="I26" s="70">
        <v>4379630</v>
      </c>
      <c r="J26" s="70">
        <v>4475541</v>
      </c>
      <c r="K26" s="70">
        <v>4171810</v>
      </c>
      <c r="L26" s="283">
        <f>K26</f>
        <v>4171810</v>
      </c>
      <c r="M26" s="240">
        <v>4042605</v>
      </c>
      <c r="N26" s="70">
        <v>3923778</v>
      </c>
      <c r="O26" s="243">
        <v>3855669</v>
      </c>
      <c r="P26" s="70">
        <v>3792978</v>
      </c>
      <c r="Q26" s="283">
        <v>3792978</v>
      </c>
      <c r="R26" s="240">
        <v>3775976</v>
      </c>
      <c r="S26" s="70">
        <v>3737282</v>
      </c>
      <c r="T26" s="70">
        <v>3685092</v>
      </c>
      <c r="U26" s="70">
        <v>3591736</v>
      </c>
      <c r="V26" s="283">
        <f t="shared" ref="V26:V27" si="31">U26</f>
        <v>3591736</v>
      </c>
      <c r="W26" s="240">
        <v>3495733</v>
      </c>
      <c r="X26" s="70">
        <v>3473228</v>
      </c>
      <c r="Y26" s="70">
        <v>3223224</v>
      </c>
      <c r="Z26" s="70">
        <v>2972443</v>
      </c>
      <c r="AA26" s="283">
        <f t="shared" ref="AA26:AA27" si="32">Z26</f>
        <v>2972443</v>
      </c>
      <c r="AB26" s="240">
        <v>2646477</v>
      </c>
      <c r="AC26" s="70">
        <v>2616592</v>
      </c>
      <c r="AD26" s="70">
        <v>2623950</v>
      </c>
      <c r="AE26" s="70">
        <v>2579613</v>
      </c>
      <c r="AF26" s="283">
        <f t="shared" ref="AF26:AF27" si="33">AE26</f>
        <v>2579613</v>
      </c>
      <c r="AG26" s="70">
        <v>2539402</v>
      </c>
      <c r="AH26" s="70">
        <v>2545749</v>
      </c>
      <c r="AI26" s="70">
        <v>2550355</v>
      </c>
      <c r="AJ26" s="70">
        <v>2423774</v>
      </c>
      <c r="AK26" s="283">
        <v>2423774</v>
      </c>
      <c r="AL26" s="70">
        <v>2387672</v>
      </c>
      <c r="AM26" s="70">
        <v>2418370</v>
      </c>
      <c r="AN26" s="70">
        <v>2443295</v>
      </c>
      <c r="AO26" s="70">
        <v>2415819</v>
      </c>
      <c r="AP26" s="283">
        <v>2415819</v>
      </c>
      <c r="AQ26" s="70">
        <v>2393373</v>
      </c>
      <c r="AR26" s="70">
        <v>2364248</v>
      </c>
      <c r="AS26" s="70">
        <v>2449237</v>
      </c>
      <c r="AT26" s="70">
        <v>2445873</v>
      </c>
      <c r="AU26" s="283">
        <f>AT26</f>
        <v>2445873</v>
      </c>
      <c r="AV26" s="70">
        <v>2458165</v>
      </c>
      <c r="AW26" s="70">
        <v>2413672</v>
      </c>
      <c r="AX26" s="70">
        <v>2441939</v>
      </c>
      <c r="AY26" s="70"/>
      <c r="AZ26" s="283">
        <f t="shared" si="30"/>
        <v>2441939</v>
      </c>
    </row>
    <row r="27" spans="1:53" s="241" customFormat="1" ht="20.149999999999999" customHeight="1" thickBot="1">
      <c r="A27" s="307" t="s">
        <v>632</v>
      </c>
      <c r="B27" s="307" t="s">
        <v>632</v>
      </c>
      <c r="C27" s="240" t="s">
        <v>737</v>
      </c>
      <c r="D27" s="70" t="s">
        <v>737</v>
      </c>
      <c r="E27" s="70" t="s">
        <v>737</v>
      </c>
      <c r="F27" s="70" t="s">
        <v>737</v>
      </c>
      <c r="G27" s="283" t="s">
        <v>737</v>
      </c>
      <c r="H27" s="240">
        <v>77069</v>
      </c>
      <c r="I27" s="70">
        <v>104248</v>
      </c>
      <c r="J27" s="70">
        <v>159050</v>
      </c>
      <c r="K27" s="70">
        <v>218946</v>
      </c>
      <c r="L27" s="283">
        <f>K27</f>
        <v>218946</v>
      </c>
      <c r="M27" s="240">
        <v>226101</v>
      </c>
      <c r="N27" s="70">
        <v>236772</v>
      </c>
      <c r="O27" s="243">
        <v>265389</v>
      </c>
      <c r="P27" s="70">
        <v>218438</v>
      </c>
      <c r="Q27" s="283">
        <v>218438</v>
      </c>
      <c r="R27" s="240">
        <v>192618</v>
      </c>
      <c r="S27" s="70">
        <v>193270</v>
      </c>
      <c r="T27" s="70">
        <v>231244</v>
      </c>
      <c r="U27" s="70">
        <v>231285</v>
      </c>
      <c r="V27" s="283">
        <f t="shared" si="31"/>
        <v>231285</v>
      </c>
      <c r="W27" s="240">
        <v>256180</v>
      </c>
      <c r="X27" s="70">
        <v>284044</v>
      </c>
      <c r="Y27" s="70">
        <v>259767</v>
      </c>
      <c r="Z27" s="70">
        <v>218589</v>
      </c>
      <c r="AA27" s="283">
        <f t="shared" si="32"/>
        <v>218589</v>
      </c>
      <c r="AB27" s="240">
        <v>184389</v>
      </c>
      <c r="AC27" s="70">
        <v>180526</v>
      </c>
      <c r="AD27" s="70">
        <v>192584</v>
      </c>
      <c r="AE27" s="70">
        <v>178379</v>
      </c>
      <c r="AF27" s="283">
        <f t="shared" si="33"/>
        <v>178379</v>
      </c>
      <c r="AG27" s="70">
        <v>168623</v>
      </c>
      <c r="AH27" s="70">
        <v>163347</v>
      </c>
      <c r="AI27" s="70">
        <v>152492</v>
      </c>
      <c r="AJ27" s="70">
        <v>127410</v>
      </c>
      <c r="AK27" s="283">
        <v>127410</v>
      </c>
      <c r="AL27" s="70">
        <v>110517</v>
      </c>
      <c r="AM27" s="70">
        <v>101765</v>
      </c>
      <c r="AN27" s="70">
        <v>92709</v>
      </c>
      <c r="AO27" s="70">
        <v>80467</v>
      </c>
      <c r="AP27" s="283">
        <v>80467</v>
      </c>
      <c r="AQ27" s="70">
        <v>73307</v>
      </c>
      <c r="AR27" s="70">
        <v>67684</v>
      </c>
      <c r="AS27" s="70">
        <v>63942</v>
      </c>
      <c r="AT27" s="70">
        <v>57524</v>
      </c>
      <c r="AU27" s="283">
        <f>AT27</f>
        <v>57524</v>
      </c>
      <c r="AV27" s="70">
        <v>53322</v>
      </c>
      <c r="AW27" s="70">
        <v>46742</v>
      </c>
      <c r="AX27" s="70">
        <v>43890</v>
      </c>
      <c r="AY27" s="70"/>
      <c r="AZ27" s="283">
        <f t="shared" si="30"/>
        <v>43890</v>
      </c>
    </row>
    <row r="28" spans="1:53" s="282" customFormat="1" ht="20.149999999999999" customHeight="1" thickBot="1">
      <c r="A28" s="280" t="s">
        <v>760</v>
      </c>
      <c r="B28" s="281" t="s">
        <v>761</v>
      </c>
      <c r="C28" s="278" t="s">
        <v>737</v>
      </c>
      <c r="D28" s="279" t="s">
        <v>737</v>
      </c>
      <c r="E28" s="279" t="s">
        <v>737</v>
      </c>
      <c r="F28" s="279" t="s">
        <v>737</v>
      </c>
      <c r="G28" s="277" t="s">
        <v>737</v>
      </c>
      <c r="H28" s="278">
        <v>18</v>
      </c>
      <c r="I28" s="279">
        <v>19.2</v>
      </c>
      <c r="J28" s="279">
        <v>18.2</v>
      </c>
      <c r="K28" s="279">
        <v>17.5</v>
      </c>
      <c r="L28" s="277">
        <v>18.2</v>
      </c>
      <c r="M28" s="278">
        <v>16.5</v>
      </c>
      <c r="N28" s="279">
        <v>17.899999999999999</v>
      </c>
      <c r="O28" s="279">
        <v>18.3</v>
      </c>
      <c r="P28" s="279">
        <v>18.2</v>
      </c>
      <c r="Q28" s="277">
        <v>17.7</v>
      </c>
      <c r="R28" s="278">
        <v>17.3</v>
      </c>
      <c r="S28" s="279">
        <v>18.3</v>
      </c>
      <c r="T28" s="279">
        <v>19</v>
      </c>
      <c r="U28" s="279">
        <v>18.5</v>
      </c>
      <c r="V28" s="277">
        <v>18.3</v>
      </c>
      <c r="W28" s="278">
        <v>17.7</v>
      </c>
      <c r="X28" s="279">
        <v>18.899999999999999</v>
      </c>
      <c r="Y28" s="279">
        <v>18.7</v>
      </c>
      <c r="Z28" s="279">
        <v>19.2</v>
      </c>
      <c r="AA28" s="277">
        <v>18.600000000000001</v>
      </c>
      <c r="AB28" s="278">
        <v>18.7</v>
      </c>
      <c r="AC28" s="279">
        <v>20.5</v>
      </c>
      <c r="AD28" s="279">
        <v>20.2</v>
      </c>
      <c r="AE28" s="279">
        <v>20.100000000000001</v>
      </c>
      <c r="AF28" s="277">
        <v>19.899999999999999</v>
      </c>
      <c r="AG28" s="279">
        <v>20.100000000000001</v>
      </c>
      <c r="AH28" s="279">
        <v>20.399999999999999</v>
      </c>
      <c r="AI28" s="279">
        <v>20.8</v>
      </c>
      <c r="AJ28" s="279">
        <v>20.3</v>
      </c>
      <c r="AK28" s="277">
        <v>20.399999999999999</v>
      </c>
      <c r="AL28" s="279">
        <v>20.100000000000001</v>
      </c>
      <c r="AM28" s="279">
        <v>20.8</v>
      </c>
      <c r="AN28" s="279">
        <v>20.8</v>
      </c>
      <c r="AO28" s="279">
        <v>20.3</v>
      </c>
      <c r="AP28" s="277">
        <v>20.5</v>
      </c>
      <c r="AQ28" s="279">
        <v>20.7</v>
      </c>
      <c r="AR28" s="279">
        <v>21.4</v>
      </c>
      <c r="AS28" s="279">
        <v>21.5</v>
      </c>
      <c r="AT28" s="279">
        <v>21.8</v>
      </c>
      <c r="AU28" s="277">
        <v>21.4</v>
      </c>
      <c r="AV28" s="279">
        <v>21.5</v>
      </c>
      <c r="AW28" s="279">
        <v>21.967114718613772</v>
      </c>
      <c r="AX28" s="279">
        <v>21.4</v>
      </c>
      <c r="AY28" s="279"/>
      <c r="AZ28" s="277">
        <v>21.61653706970829</v>
      </c>
    </row>
    <row r="29" spans="1:53" s="241" customFormat="1" ht="20.149999999999999" customHeight="1" thickBot="1">
      <c r="A29" s="310" t="s">
        <v>755</v>
      </c>
      <c r="B29" s="311" t="s">
        <v>762</v>
      </c>
      <c r="C29" s="275" t="s">
        <v>737</v>
      </c>
      <c r="D29" s="276" t="s">
        <v>737</v>
      </c>
      <c r="E29" s="276" t="s">
        <v>737</v>
      </c>
      <c r="F29" s="276" t="s">
        <v>737</v>
      </c>
      <c r="G29" s="284" t="s">
        <v>737</v>
      </c>
      <c r="H29" s="275">
        <f>SUM(H30:H32)</f>
        <v>4549031</v>
      </c>
      <c r="I29" s="276">
        <f t="shared" ref="I29:N29" si="34">SUM(I30:I32)</f>
        <v>4532090</v>
      </c>
      <c r="J29" s="276">
        <f t="shared" si="34"/>
        <v>4635182</v>
      </c>
      <c r="K29" s="276">
        <f t="shared" si="34"/>
        <v>4599374</v>
      </c>
      <c r="L29" s="284">
        <f t="shared" si="34"/>
        <v>4578919.25</v>
      </c>
      <c r="M29" s="275">
        <f t="shared" si="34"/>
        <v>4398038</v>
      </c>
      <c r="N29" s="276">
        <f t="shared" si="34"/>
        <v>4285747</v>
      </c>
      <c r="O29" s="276">
        <f>SUM(O30:O32)</f>
        <v>4212274</v>
      </c>
      <c r="P29" s="276">
        <f>SUM(P30:P32)</f>
        <v>4172129</v>
      </c>
      <c r="Q29" s="284">
        <f>SUM(Q30:Q32)</f>
        <v>4267047</v>
      </c>
      <c r="R29" s="275">
        <f t="shared" ref="R29:AU29" si="35">SUM(R30:R32)</f>
        <v>4068646</v>
      </c>
      <c r="S29" s="276">
        <f t="shared" si="35"/>
        <v>4006108</v>
      </c>
      <c r="T29" s="276">
        <f t="shared" si="35"/>
        <v>3970091</v>
      </c>
      <c r="U29" s="276">
        <f t="shared" si="35"/>
        <v>3917979</v>
      </c>
      <c r="V29" s="284">
        <f t="shared" si="35"/>
        <v>3990706</v>
      </c>
      <c r="W29" s="275">
        <f t="shared" si="35"/>
        <v>3801870</v>
      </c>
      <c r="X29" s="276">
        <f t="shared" si="35"/>
        <v>3794613</v>
      </c>
      <c r="Y29" s="276">
        <f t="shared" si="35"/>
        <v>3713417</v>
      </c>
      <c r="Z29" s="276">
        <f t="shared" si="35"/>
        <v>3341220</v>
      </c>
      <c r="AA29" s="284">
        <f t="shared" si="35"/>
        <v>3662780</v>
      </c>
      <c r="AB29" s="275">
        <f t="shared" si="35"/>
        <v>3050604</v>
      </c>
      <c r="AC29" s="276">
        <f t="shared" si="35"/>
        <v>2882155</v>
      </c>
      <c r="AD29" s="276">
        <f t="shared" si="35"/>
        <v>2863783</v>
      </c>
      <c r="AE29" s="276">
        <f t="shared" si="35"/>
        <v>2851766</v>
      </c>
      <c r="AF29" s="284">
        <f t="shared" si="35"/>
        <v>2912076</v>
      </c>
      <c r="AG29" s="276">
        <f t="shared" si="35"/>
        <v>2789695</v>
      </c>
      <c r="AH29" s="276">
        <f t="shared" si="35"/>
        <v>2771707.333333333</v>
      </c>
      <c r="AI29" s="276">
        <f t="shared" si="35"/>
        <v>2774199</v>
      </c>
      <c r="AJ29" s="276">
        <f t="shared" si="35"/>
        <v>2745638</v>
      </c>
      <c r="AK29" s="284">
        <f t="shared" si="35"/>
        <v>2770309</v>
      </c>
      <c r="AL29" s="276">
        <f t="shared" si="35"/>
        <v>2613613</v>
      </c>
      <c r="AM29" s="276">
        <f t="shared" si="35"/>
        <v>2616887</v>
      </c>
      <c r="AN29" s="276">
        <f t="shared" si="35"/>
        <v>2633673</v>
      </c>
      <c r="AO29" s="276">
        <f t="shared" si="35"/>
        <v>2656703</v>
      </c>
      <c r="AP29" s="284">
        <f t="shared" si="35"/>
        <v>2630219</v>
      </c>
      <c r="AQ29" s="276">
        <f t="shared" si="35"/>
        <v>2604742</v>
      </c>
      <c r="AR29" s="276">
        <f t="shared" si="35"/>
        <v>2591758</v>
      </c>
      <c r="AS29" s="276">
        <f t="shared" si="35"/>
        <v>2612383</v>
      </c>
      <c r="AT29" s="276">
        <f t="shared" si="35"/>
        <v>2687327</v>
      </c>
      <c r="AU29" s="284">
        <f t="shared" si="35"/>
        <v>2624052.4583333335</v>
      </c>
      <c r="AV29" s="276">
        <f t="shared" ref="AV29:AZ29" si="36">SUM(AV30:AV32)</f>
        <v>2638165</v>
      </c>
      <c r="AW29" s="276">
        <f t="shared" si="36"/>
        <v>2651956.8333333335</v>
      </c>
      <c r="AX29" s="276">
        <f t="shared" si="36"/>
        <v>2596767</v>
      </c>
      <c r="AY29" s="276">
        <f t="shared" si="36"/>
        <v>0</v>
      </c>
      <c r="AZ29" s="284">
        <f t="shared" si="36"/>
        <v>2628962.7222222225</v>
      </c>
    </row>
    <row r="30" spans="1:53" s="241" customFormat="1" ht="20.149999999999999" customHeight="1">
      <c r="A30" s="307" t="s">
        <v>649</v>
      </c>
      <c r="B30" s="307" t="s">
        <v>650</v>
      </c>
      <c r="C30" s="240" t="s">
        <v>737</v>
      </c>
      <c r="D30" s="70" t="s">
        <v>737</v>
      </c>
      <c r="E30" s="70" t="s">
        <v>737</v>
      </c>
      <c r="F30" s="70" t="s">
        <v>737</v>
      </c>
      <c r="G30" s="283" t="s">
        <v>737</v>
      </c>
      <c r="H30" s="240">
        <v>78707</v>
      </c>
      <c r="I30" s="70">
        <v>73828</v>
      </c>
      <c r="J30" s="70">
        <v>68740</v>
      </c>
      <c r="K30" s="70">
        <v>77953</v>
      </c>
      <c r="L30" s="283">
        <f>AVERAGE(H30:K30)</f>
        <v>74807</v>
      </c>
      <c r="M30" s="240">
        <v>77779</v>
      </c>
      <c r="N30" s="70">
        <v>79253</v>
      </c>
      <c r="O30" s="243">
        <v>69522</v>
      </c>
      <c r="P30" s="70">
        <v>129021</v>
      </c>
      <c r="Q30" s="283">
        <v>88894</v>
      </c>
      <c r="R30" s="240">
        <v>67972</v>
      </c>
      <c r="S30" s="70">
        <v>61165</v>
      </c>
      <c r="T30" s="70">
        <v>41313</v>
      </c>
      <c r="U30" s="70">
        <v>56743</v>
      </c>
      <c r="V30" s="283">
        <v>56798</v>
      </c>
      <c r="W30" s="240">
        <v>36255</v>
      </c>
      <c r="X30" s="70">
        <v>52114</v>
      </c>
      <c r="Y30" s="70">
        <v>42971</v>
      </c>
      <c r="Z30" s="70">
        <v>54083</v>
      </c>
      <c r="AA30" s="283">
        <v>46356</v>
      </c>
      <c r="AB30" s="240">
        <v>48659</v>
      </c>
      <c r="AC30" s="70">
        <v>69132</v>
      </c>
      <c r="AD30" s="70">
        <v>54950</v>
      </c>
      <c r="AE30" s="70">
        <v>65088</v>
      </c>
      <c r="AF30" s="283">
        <v>59457</v>
      </c>
      <c r="AG30" s="70">
        <v>58222</v>
      </c>
      <c r="AH30" s="70">
        <v>69503.166666666672</v>
      </c>
      <c r="AI30" s="70">
        <v>58358</v>
      </c>
      <c r="AJ30" s="70">
        <v>95346</v>
      </c>
      <c r="AK30" s="283">
        <v>70357</v>
      </c>
      <c r="AL30" s="70">
        <v>91940</v>
      </c>
      <c r="AM30" s="70">
        <v>113249</v>
      </c>
      <c r="AN30" s="70">
        <v>94727</v>
      </c>
      <c r="AO30" s="70">
        <v>145284</v>
      </c>
      <c r="AP30" s="283">
        <v>111300</v>
      </c>
      <c r="AQ30" s="70">
        <v>122482</v>
      </c>
      <c r="AR30" s="70">
        <v>160079</v>
      </c>
      <c r="AS30" s="70">
        <v>131105</v>
      </c>
      <c r="AT30" s="70">
        <v>176926</v>
      </c>
      <c r="AU30" s="283">
        <v>147648</v>
      </c>
      <c r="AV30" s="70">
        <v>140172</v>
      </c>
      <c r="AW30" s="70">
        <v>188256.66666666666</v>
      </c>
      <c r="AX30" s="70">
        <v>118857</v>
      </c>
      <c r="AY30" s="70"/>
      <c r="AZ30" s="283">
        <v>149094.94444444444</v>
      </c>
    </row>
    <row r="31" spans="1:53" s="241" customFormat="1" ht="20.149999999999999" customHeight="1">
      <c r="A31" s="307" t="s">
        <v>630</v>
      </c>
      <c r="B31" s="307" t="s">
        <v>651</v>
      </c>
      <c r="C31" s="240" t="s">
        <v>737</v>
      </c>
      <c r="D31" s="70" t="s">
        <v>737</v>
      </c>
      <c r="E31" s="70" t="s">
        <v>737</v>
      </c>
      <c r="F31" s="70" t="s">
        <v>737</v>
      </c>
      <c r="G31" s="283" t="s">
        <v>737</v>
      </c>
      <c r="H31" s="240">
        <v>4397976</v>
      </c>
      <c r="I31" s="70">
        <v>4370181</v>
      </c>
      <c r="J31" s="70">
        <v>4431149</v>
      </c>
      <c r="K31" s="70">
        <v>4338987</v>
      </c>
      <c r="L31" s="283">
        <f t="shared" ref="L31:L32" si="37">AVERAGE(H31:K31)</f>
        <v>4384573.25</v>
      </c>
      <c r="M31" s="240">
        <v>4091609</v>
      </c>
      <c r="N31" s="70">
        <v>3975410</v>
      </c>
      <c r="O31" s="243">
        <v>3893375</v>
      </c>
      <c r="P31" s="70">
        <v>3798701</v>
      </c>
      <c r="Q31" s="283">
        <v>3939774</v>
      </c>
      <c r="R31" s="240">
        <v>3797423</v>
      </c>
      <c r="S31" s="70">
        <v>3755130</v>
      </c>
      <c r="T31" s="70">
        <v>3713656</v>
      </c>
      <c r="U31" s="70">
        <v>3630863</v>
      </c>
      <c r="V31" s="283">
        <v>3724268</v>
      </c>
      <c r="W31" s="240">
        <v>3529840</v>
      </c>
      <c r="X31" s="70">
        <v>3473104</v>
      </c>
      <c r="Y31" s="70">
        <v>3386794</v>
      </c>
      <c r="Z31" s="70">
        <v>3058691</v>
      </c>
      <c r="AA31" s="283">
        <v>3362107</v>
      </c>
      <c r="AB31" s="240">
        <v>2800366</v>
      </c>
      <c r="AC31" s="70">
        <v>2631773</v>
      </c>
      <c r="AD31" s="70">
        <v>2620575</v>
      </c>
      <c r="AE31" s="70">
        <v>2601552</v>
      </c>
      <c r="AF31" s="283">
        <v>2663566</v>
      </c>
      <c r="AG31" s="70">
        <v>2558174</v>
      </c>
      <c r="AH31" s="70">
        <v>2536844.1666666665</v>
      </c>
      <c r="AI31" s="70">
        <v>2555414</v>
      </c>
      <c r="AJ31" s="70">
        <v>2511226</v>
      </c>
      <c r="AK31" s="283">
        <v>2540414</v>
      </c>
      <c r="AL31" s="70">
        <v>2403135</v>
      </c>
      <c r="AM31" s="70">
        <v>2398016</v>
      </c>
      <c r="AN31" s="70">
        <v>2441160</v>
      </c>
      <c r="AO31" s="70">
        <v>2425301</v>
      </c>
      <c r="AP31" s="283">
        <v>2416903</v>
      </c>
      <c r="AQ31" s="70">
        <v>2405796</v>
      </c>
      <c r="AR31" s="70">
        <v>2361397</v>
      </c>
      <c r="AS31" s="70">
        <v>2414825</v>
      </c>
      <c r="AT31" s="70">
        <v>2449774</v>
      </c>
      <c r="AU31" s="283">
        <v>2407948</v>
      </c>
      <c r="AV31" s="70">
        <v>2442879</v>
      </c>
      <c r="AW31" s="70">
        <v>2415289.8333333335</v>
      </c>
      <c r="AX31" s="70">
        <v>2432438</v>
      </c>
      <c r="AY31" s="70"/>
      <c r="AZ31" s="283">
        <v>2430202.3333333335</v>
      </c>
    </row>
    <row r="32" spans="1:53" s="241" customFormat="1" ht="20.149999999999999" customHeight="1" thickBot="1">
      <c r="A32" s="308" t="s">
        <v>632</v>
      </c>
      <c r="B32" s="308" t="s">
        <v>632</v>
      </c>
      <c r="C32" s="256" t="s">
        <v>737</v>
      </c>
      <c r="D32" s="643" t="s">
        <v>737</v>
      </c>
      <c r="E32" s="643" t="s">
        <v>737</v>
      </c>
      <c r="F32" s="643" t="s">
        <v>737</v>
      </c>
      <c r="G32" s="309" t="s">
        <v>737</v>
      </c>
      <c r="H32" s="256">
        <v>72348</v>
      </c>
      <c r="I32" s="643">
        <v>88081</v>
      </c>
      <c r="J32" s="643">
        <v>135293</v>
      </c>
      <c r="K32" s="643">
        <v>182434</v>
      </c>
      <c r="L32" s="309">
        <f t="shared" si="37"/>
        <v>119539</v>
      </c>
      <c r="M32" s="256">
        <v>228650</v>
      </c>
      <c r="N32" s="643">
        <v>231084</v>
      </c>
      <c r="O32" s="644">
        <v>249377</v>
      </c>
      <c r="P32" s="643">
        <v>244407</v>
      </c>
      <c r="Q32" s="309">
        <v>238379</v>
      </c>
      <c r="R32" s="256">
        <v>203251</v>
      </c>
      <c r="S32" s="643">
        <v>189813</v>
      </c>
      <c r="T32" s="643">
        <v>215122</v>
      </c>
      <c r="U32" s="643">
        <v>230373</v>
      </c>
      <c r="V32" s="309">
        <v>209640</v>
      </c>
      <c r="W32" s="256">
        <v>235775</v>
      </c>
      <c r="X32" s="643">
        <v>269395</v>
      </c>
      <c r="Y32" s="643">
        <v>283652</v>
      </c>
      <c r="Z32" s="643">
        <v>228446</v>
      </c>
      <c r="AA32" s="309">
        <v>254317</v>
      </c>
      <c r="AB32" s="256">
        <v>201579</v>
      </c>
      <c r="AC32" s="643">
        <v>181250</v>
      </c>
      <c r="AD32" s="643">
        <v>188258</v>
      </c>
      <c r="AE32" s="643">
        <v>185126</v>
      </c>
      <c r="AF32" s="309">
        <v>189053</v>
      </c>
      <c r="AG32" s="643">
        <v>173299</v>
      </c>
      <c r="AH32" s="643">
        <v>165360</v>
      </c>
      <c r="AI32" s="643">
        <v>160427</v>
      </c>
      <c r="AJ32" s="643">
        <v>139066</v>
      </c>
      <c r="AK32" s="309">
        <v>159538</v>
      </c>
      <c r="AL32" s="643">
        <v>118538</v>
      </c>
      <c r="AM32" s="643">
        <v>105622</v>
      </c>
      <c r="AN32" s="643">
        <v>97786</v>
      </c>
      <c r="AO32" s="643">
        <v>86118</v>
      </c>
      <c r="AP32" s="309">
        <v>102016</v>
      </c>
      <c r="AQ32" s="643">
        <v>76464</v>
      </c>
      <c r="AR32" s="643">
        <v>70282</v>
      </c>
      <c r="AS32" s="643">
        <v>66453</v>
      </c>
      <c r="AT32" s="643">
        <v>60627</v>
      </c>
      <c r="AU32" s="309">
        <v>68456.458333333299</v>
      </c>
      <c r="AV32" s="643">
        <v>55114</v>
      </c>
      <c r="AW32" s="643">
        <v>48410.333333333336</v>
      </c>
      <c r="AX32" s="643">
        <v>45472</v>
      </c>
      <c r="AY32" s="643"/>
      <c r="AZ32" s="309">
        <v>49665.444444444445</v>
      </c>
    </row>
    <row r="33" spans="1:37" ht="20.149999999999999" customHeight="1"/>
    <row r="34" spans="1:37" ht="36">
      <c r="A34" s="257" t="s">
        <v>763</v>
      </c>
      <c r="B34" s="257" t="s">
        <v>764</v>
      </c>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258"/>
    </row>
    <row r="35" spans="1:37" ht="36">
      <c r="A35" s="257" t="s">
        <v>765</v>
      </c>
      <c r="B35" s="257" t="s">
        <v>766</v>
      </c>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258"/>
    </row>
    <row r="36" spans="1:37" ht="48">
      <c r="A36" s="259" t="s">
        <v>767</v>
      </c>
      <c r="B36" s="257" t="s">
        <v>768</v>
      </c>
      <c r="C36" s="260"/>
      <c r="D36" s="260"/>
      <c r="E36" s="260"/>
      <c r="F36" s="260"/>
      <c r="G36" s="260"/>
      <c r="H36" s="260"/>
      <c r="I36" s="260"/>
      <c r="J36" s="260"/>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row>
    <row r="37" spans="1:37" ht="132" customHeight="1">
      <c r="A37" s="259" t="s">
        <v>769</v>
      </c>
      <c r="B37" s="257" t="s">
        <v>770</v>
      </c>
      <c r="C37" s="260"/>
      <c r="D37" s="260"/>
      <c r="E37" s="260"/>
      <c r="F37" s="260"/>
      <c r="G37" s="260"/>
      <c r="H37" s="260"/>
      <c r="I37" s="260"/>
      <c r="J37" s="260"/>
      <c r="K37" s="260"/>
      <c r="L37" s="260"/>
      <c r="M37" s="260"/>
      <c r="N37" s="260"/>
      <c r="O37" s="259"/>
      <c r="P37" s="259"/>
      <c r="Q37" s="259"/>
      <c r="R37" s="259"/>
      <c r="S37" s="259"/>
      <c r="T37" s="259"/>
    </row>
    <row r="38" spans="1:37" ht="36">
      <c r="A38" s="259" t="s">
        <v>771</v>
      </c>
      <c r="B38" s="257" t="s">
        <v>772</v>
      </c>
      <c r="C38" s="260"/>
      <c r="D38" s="260"/>
      <c r="E38" s="260"/>
      <c r="F38" s="260"/>
      <c r="G38" s="260"/>
      <c r="H38" s="260"/>
      <c r="I38" s="260"/>
      <c r="J38" s="260"/>
      <c r="K38" s="260"/>
      <c r="L38" s="260"/>
      <c r="M38" s="260"/>
      <c r="N38" s="260"/>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258"/>
    </row>
    <row r="39" spans="1:37" ht="72">
      <c r="A39" s="257" t="s">
        <v>773</v>
      </c>
      <c r="B39" s="257" t="s">
        <v>774</v>
      </c>
    </row>
    <row r="40" spans="1:37" ht="20.149999999999999" customHeight="1"/>
    <row r="41" spans="1:37" ht="20.149999999999999" customHeight="1"/>
    <row r="42" spans="1:37" ht="20.149999999999999" customHeight="1"/>
    <row r="43" spans="1:37" ht="20.149999999999999" customHeight="1"/>
    <row r="44" spans="1:37" ht="20.149999999999999" customHeight="1"/>
    <row r="45" spans="1:37" ht="20.149999999999999" customHeight="1"/>
    <row r="46" spans="1:37" ht="20.149999999999999" customHeight="1"/>
    <row r="47" spans="1:37" ht="20.149999999999999" customHeight="1"/>
    <row r="48" spans="1:37" ht="20.149999999999999" customHeight="1"/>
    <row r="49" ht="20.149999999999999" customHeight="1"/>
    <row r="50" ht="20.149999999999999" customHeight="1"/>
    <row r="51" ht="20.149999999999999" customHeight="1"/>
    <row r="52" ht="20.149999999999999" customHeight="1"/>
    <row r="53" ht="20.149999999999999" customHeight="1"/>
    <row r="54" ht="20.149999999999999" customHeight="1"/>
    <row r="55" ht="20.149999999999999" customHeight="1"/>
    <row r="56" ht="20.149999999999999" customHeight="1"/>
  </sheetData>
  <customSheetViews>
    <customSheetView guid="{B87BD74C-18F3-4393-BF03-31B25889E08F}" scale="90" showGridLines="0" fitToPage="1" hiddenRows="1" hiddenColumns="1">
      <pane xSplit="31" ySplit="5" topLeftCell="AV6" activePane="bottomRight" state="frozen"/>
      <selection pane="bottomRight" activeCell="BB2" sqref="BB2"/>
      <pageMargins left="0" right="0" top="0" bottom="0" header="0" footer="0"/>
      <pageSetup paperSize="9" scale="53" orientation="landscape" horizontalDpi="4294967294" r:id="rId1"/>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 right="0" top="0" bottom="0" header="0" footer="0"/>
      <pageSetup paperSize="9" scale="52" orientation="landscape" horizontalDpi="4294967294" r:id="rId2"/>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 right="0" top="0" bottom="0" header="0" footer="0"/>
      <pageSetup paperSize="9" scale="53" orientation="landscape"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70" showPageBreaks="1" showGridLines="0" fitToPage="1" printArea="1" hiddenRows="1">
      <selection activeCell="A12" sqref="A12"/>
      <pageMargins left="0" right="0" top="0" bottom="0" header="0" footer="0"/>
      <pageSetup paperSize="9" scale="45" orientation="landscape" horizontalDpi="4294967294" r:id="rId4"/>
    </customSheetView>
  </customSheetViews>
  <mergeCells count="21">
    <mergeCell ref="AV3:AY3"/>
    <mergeCell ref="AZ3:AZ4"/>
    <mergeCell ref="AU3:AU4"/>
    <mergeCell ref="AF3:AF4"/>
    <mergeCell ref="AG3:AJ3"/>
    <mergeCell ref="AK3:AK4"/>
    <mergeCell ref="AL3:AO3"/>
    <mergeCell ref="AP3:AP4"/>
    <mergeCell ref="AQ3:AT3"/>
    <mergeCell ref="AB3:AE3"/>
    <mergeCell ref="A2:O2"/>
    <mergeCell ref="C3:F3"/>
    <mergeCell ref="G3:G4"/>
    <mergeCell ref="H3:K3"/>
    <mergeCell ref="L3:L4"/>
    <mergeCell ref="M3:P3"/>
    <mergeCell ref="Q3:Q4"/>
    <mergeCell ref="R3:U3"/>
    <mergeCell ref="V3:V4"/>
    <mergeCell ref="W3:Z3"/>
    <mergeCell ref="AA3:AA4"/>
  </mergeCells>
  <pageMargins left="0.7" right="0.7" top="0.75" bottom="0.75" header="0.3" footer="0.3"/>
  <pageSetup paperSize="9" scale="45" orientation="landscape"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O90"/>
  <sheetViews>
    <sheetView showGridLines="0" zoomScale="80" zoomScaleNormal="80" zoomScaleSheetLayoutView="85" workbookViewId="0">
      <pane xSplit="1" ySplit="4" topLeftCell="AX5" activePane="bottomRight" state="frozen"/>
      <selection pane="topRight" activeCell="B1" sqref="B1"/>
      <selection pane="bottomLeft" activeCell="A5" sqref="A5"/>
      <selection pane="bottomRight" activeCell="AV26" sqref="AV26"/>
    </sheetView>
  </sheetViews>
  <sheetFormatPr defaultColWidth="9" defaultRowHeight="12.9" outlineLevelCol="1"/>
  <cols>
    <col min="1" max="1" width="53" style="4" customWidth="1"/>
    <col min="2" max="2" width="53" style="39" customWidth="1"/>
    <col min="3" max="3" width="11.5" style="5" hidden="1" customWidth="1" outlineLevel="1"/>
    <col min="4" max="4" width="12.28515625" style="5" hidden="1" customWidth="1" outlineLevel="1"/>
    <col min="5" max="5" width="13.5703125" style="5" hidden="1" customWidth="1" outlineLevel="1"/>
    <col min="6" max="6" width="12.0703125" style="5" hidden="1" customWidth="1" outlineLevel="1"/>
    <col min="7" max="9" width="13.5703125" style="5" hidden="1" customWidth="1" outlineLevel="1"/>
    <col min="10" max="10" width="12.0703125" style="5" hidden="1" customWidth="1" outlineLevel="1"/>
    <col min="11" max="13" width="13.5703125" style="5" hidden="1" customWidth="1" outlineLevel="1"/>
    <col min="14" max="14" width="12.0703125" style="5" hidden="1" customWidth="1" outlineLevel="1"/>
    <col min="15" max="46" width="13.5703125" style="5" hidden="1" customWidth="1" outlineLevel="1"/>
    <col min="47" max="47" width="13.5703125" style="5" customWidth="1" collapsed="1"/>
    <col min="48" max="58" width="13.5703125" style="5" customWidth="1"/>
    <col min="59" max="16384" width="9" style="5"/>
  </cols>
  <sheetData>
    <row r="1" spans="1:483"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row>
    <row r="2" spans="1:483" s="406" customFormat="1" ht="42.75" customHeight="1">
      <c r="A2" s="403" t="s">
        <v>106</v>
      </c>
      <c r="B2" s="404" t="s">
        <v>107</v>
      </c>
      <c r="C2" s="960">
        <v>2012</v>
      </c>
      <c r="D2" s="960"/>
      <c r="E2" s="960"/>
      <c r="F2" s="961"/>
      <c r="G2" s="960">
        <v>2013</v>
      </c>
      <c r="H2" s="960"/>
      <c r="I2" s="960"/>
      <c r="J2" s="960"/>
      <c r="K2" s="957">
        <v>2014</v>
      </c>
      <c r="L2" s="960"/>
      <c r="M2" s="960"/>
      <c r="N2" s="961"/>
      <c r="O2" s="960">
        <v>2015</v>
      </c>
      <c r="P2" s="960"/>
      <c r="Q2" s="960"/>
      <c r="R2" s="961"/>
      <c r="S2" s="957">
        <v>2016</v>
      </c>
      <c r="T2" s="960"/>
      <c r="U2" s="960"/>
      <c r="V2" s="961"/>
      <c r="W2" s="957" t="s">
        <v>108</v>
      </c>
      <c r="X2" s="960"/>
      <c r="Y2" s="960"/>
      <c r="Z2" s="961"/>
      <c r="AA2" s="957" t="s">
        <v>109</v>
      </c>
      <c r="AB2" s="960"/>
      <c r="AC2" s="960"/>
      <c r="AD2" s="961"/>
      <c r="AE2" s="957" t="s">
        <v>110</v>
      </c>
      <c r="AF2" s="958"/>
      <c r="AG2" s="958"/>
      <c r="AH2" s="959"/>
      <c r="AI2" s="957">
        <v>2020</v>
      </c>
      <c r="AJ2" s="958"/>
      <c r="AK2" s="958"/>
      <c r="AL2" s="959"/>
      <c r="AM2" s="957">
        <v>2021</v>
      </c>
      <c r="AN2" s="958"/>
      <c r="AO2" s="958"/>
      <c r="AP2" s="959"/>
      <c r="AQ2" s="957">
        <v>2022</v>
      </c>
      <c r="AR2" s="958"/>
      <c r="AS2" s="958"/>
      <c r="AT2" s="959"/>
      <c r="AU2" s="957">
        <v>2023</v>
      </c>
      <c r="AV2" s="958"/>
      <c r="AW2" s="958"/>
      <c r="AX2" s="959"/>
      <c r="AY2" s="957">
        <v>2024</v>
      </c>
      <c r="AZ2" s="958"/>
      <c r="BA2" s="958"/>
      <c r="BB2" s="959"/>
      <c r="BC2" s="957">
        <v>2025</v>
      </c>
      <c r="BD2" s="958"/>
      <c r="BE2" s="958"/>
      <c r="BF2" s="959"/>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405"/>
      <c r="DK2" s="405"/>
      <c r="DL2" s="405"/>
      <c r="DM2" s="405"/>
      <c r="DN2" s="405"/>
      <c r="DO2" s="405"/>
      <c r="DP2" s="405"/>
      <c r="DQ2" s="405"/>
      <c r="DR2" s="405"/>
      <c r="DS2" s="405"/>
      <c r="DT2" s="405"/>
      <c r="DU2" s="405"/>
      <c r="DV2" s="405"/>
      <c r="DW2" s="405"/>
      <c r="DX2" s="405"/>
      <c r="DY2" s="405"/>
      <c r="DZ2" s="405"/>
      <c r="EA2" s="405"/>
      <c r="EB2" s="405"/>
      <c r="EC2" s="405"/>
      <c r="ED2" s="405"/>
      <c r="EE2" s="405"/>
      <c r="EF2" s="405"/>
      <c r="EG2" s="405"/>
      <c r="EH2" s="405"/>
      <c r="EI2" s="405"/>
      <c r="EJ2" s="405"/>
      <c r="EK2" s="405"/>
      <c r="EL2" s="405"/>
      <c r="EM2" s="405"/>
      <c r="EN2" s="405"/>
      <c r="EO2" s="405"/>
      <c r="EP2" s="405"/>
      <c r="EQ2" s="405"/>
      <c r="ER2" s="405"/>
      <c r="ES2" s="405"/>
      <c r="ET2" s="405"/>
      <c r="EU2" s="405"/>
      <c r="EV2" s="405"/>
      <c r="EW2" s="405"/>
      <c r="EX2" s="405"/>
      <c r="EY2" s="405"/>
      <c r="EZ2" s="405"/>
      <c r="FA2" s="405"/>
      <c r="FB2" s="405"/>
      <c r="FC2" s="405"/>
      <c r="FD2" s="405"/>
      <c r="FE2" s="405"/>
      <c r="FF2" s="405"/>
      <c r="FG2" s="405"/>
      <c r="FH2" s="405"/>
      <c r="FI2" s="405"/>
      <c r="FJ2" s="405"/>
      <c r="FK2" s="405"/>
      <c r="FL2" s="405"/>
      <c r="FM2" s="405"/>
      <c r="FN2" s="405"/>
      <c r="FO2" s="405"/>
      <c r="FP2" s="405"/>
      <c r="FQ2" s="405"/>
      <c r="FR2" s="405"/>
      <c r="FS2" s="405"/>
      <c r="FT2" s="405"/>
      <c r="FU2" s="405"/>
      <c r="FV2" s="405"/>
      <c r="FW2" s="405"/>
      <c r="FX2" s="405"/>
      <c r="FY2" s="405"/>
      <c r="FZ2" s="405"/>
      <c r="GA2" s="405"/>
      <c r="GB2" s="405"/>
      <c r="GC2" s="405"/>
      <c r="GD2" s="405"/>
      <c r="GE2" s="405"/>
      <c r="GF2" s="405"/>
      <c r="GG2" s="405"/>
      <c r="GH2" s="405"/>
      <c r="GI2" s="405"/>
      <c r="GJ2" s="405"/>
      <c r="GK2" s="405"/>
      <c r="GL2" s="405"/>
      <c r="GM2" s="405"/>
      <c r="GN2" s="405"/>
      <c r="GO2" s="405"/>
      <c r="GP2" s="405"/>
      <c r="GQ2" s="405"/>
      <c r="GR2" s="405"/>
      <c r="GS2" s="405"/>
      <c r="GT2" s="405"/>
      <c r="GU2" s="405"/>
      <c r="GV2" s="405"/>
      <c r="GW2" s="405"/>
      <c r="GX2" s="405"/>
      <c r="GY2" s="405"/>
      <c r="GZ2" s="405"/>
      <c r="HA2" s="405"/>
      <c r="HB2" s="405"/>
      <c r="HC2" s="405"/>
      <c r="HD2" s="405"/>
      <c r="HE2" s="405"/>
      <c r="HF2" s="405"/>
      <c r="HG2" s="405"/>
      <c r="HH2" s="405"/>
      <c r="HI2" s="405"/>
      <c r="HJ2" s="405"/>
      <c r="HK2" s="405"/>
      <c r="HL2" s="405"/>
      <c r="HM2" s="405"/>
      <c r="HN2" s="405"/>
      <c r="HO2" s="405"/>
      <c r="HP2" s="405"/>
      <c r="HQ2" s="405"/>
      <c r="HR2" s="405"/>
      <c r="HS2" s="405"/>
      <c r="HT2" s="405"/>
      <c r="HU2" s="405"/>
      <c r="HV2" s="405"/>
      <c r="HW2" s="405"/>
      <c r="HX2" s="405"/>
      <c r="HY2" s="405"/>
      <c r="HZ2" s="405"/>
      <c r="IA2" s="405"/>
      <c r="IB2" s="405"/>
      <c r="IC2" s="405"/>
      <c r="ID2" s="405"/>
      <c r="IE2" s="405"/>
      <c r="IF2" s="405"/>
      <c r="IG2" s="405"/>
      <c r="IH2" s="405"/>
      <c r="II2" s="405"/>
      <c r="IJ2" s="405"/>
      <c r="IK2" s="405"/>
      <c r="IL2" s="405"/>
      <c r="IM2" s="405"/>
      <c r="IN2" s="405"/>
      <c r="IO2" s="405"/>
      <c r="IP2" s="405"/>
      <c r="IQ2" s="405"/>
      <c r="IR2" s="405"/>
      <c r="IS2" s="405"/>
      <c r="IT2" s="405"/>
      <c r="IU2" s="405"/>
      <c r="IV2" s="405"/>
      <c r="IW2" s="405"/>
      <c r="IX2" s="405"/>
      <c r="IY2" s="405"/>
      <c r="IZ2" s="405"/>
      <c r="JA2" s="405"/>
      <c r="JB2" s="405"/>
      <c r="JC2" s="405"/>
      <c r="JD2" s="405"/>
      <c r="JE2" s="405"/>
      <c r="JF2" s="405"/>
      <c r="JG2" s="405"/>
      <c r="JH2" s="405"/>
      <c r="JI2" s="405"/>
      <c r="JJ2" s="405"/>
      <c r="JK2" s="405"/>
      <c r="JL2" s="405"/>
      <c r="JM2" s="405"/>
      <c r="JN2" s="405"/>
      <c r="JO2" s="405"/>
      <c r="JP2" s="405"/>
      <c r="JQ2" s="405"/>
      <c r="JR2" s="405"/>
      <c r="JS2" s="405"/>
      <c r="JT2" s="405"/>
      <c r="JU2" s="405"/>
      <c r="JV2" s="405"/>
      <c r="JW2" s="405"/>
      <c r="JX2" s="405"/>
      <c r="JY2" s="405"/>
      <c r="JZ2" s="405"/>
      <c r="KA2" s="405"/>
      <c r="KB2" s="405"/>
      <c r="KC2" s="405"/>
      <c r="KD2" s="405"/>
      <c r="KE2" s="405"/>
      <c r="KF2" s="405"/>
      <c r="KG2" s="405"/>
      <c r="KH2" s="405"/>
      <c r="KI2" s="405"/>
      <c r="KJ2" s="405"/>
      <c r="KK2" s="405"/>
      <c r="KL2" s="405"/>
      <c r="KM2" s="405"/>
      <c r="KN2" s="405"/>
      <c r="KO2" s="405"/>
      <c r="KP2" s="405"/>
      <c r="KQ2" s="405"/>
      <c r="KR2" s="405"/>
      <c r="KS2" s="405"/>
      <c r="KT2" s="405"/>
      <c r="KU2" s="405"/>
      <c r="KV2" s="405"/>
      <c r="KW2" s="405"/>
      <c r="KX2" s="405"/>
      <c r="KY2" s="405"/>
      <c r="KZ2" s="405"/>
      <c r="LA2" s="405"/>
      <c r="LB2" s="405"/>
      <c r="LC2" s="405"/>
      <c r="LD2" s="405"/>
      <c r="LE2" s="405"/>
      <c r="LF2" s="405"/>
      <c r="LG2" s="405"/>
      <c r="LH2" s="405"/>
      <c r="LI2" s="405"/>
      <c r="LJ2" s="405"/>
      <c r="LK2" s="405"/>
      <c r="LL2" s="405"/>
      <c r="LM2" s="405"/>
      <c r="LN2" s="405"/>
      <c r="LO2" s="405"/>
      <c r="LP2" s="405"/>
      <c r="LQ2" s="405"/>
      <c r="LR2" s="405"/>
      <c r="LS2" s="405"/>
      <c r="LT2" s="405"/>
      <c r="LU2" s="405"/>
      <c r="LV2" s="405"/>
      <c r="LW2" s="405"/>
      <c r="LX2" s="405"/>
      <c r="LY2" s="405"/>
      <c r="LZ2" s="405"/>
      <c r="MA2" s="405"/>
      <c r="MB2" s="405"/>
      <c r="MC2" s="405"/>
      <c r="MD2" s="405"/>
      <c r="ME2" s="405"/>
      <c r="MF2" s="405"/>
      <c r="MG2" s="405"/>
      <c r="MH2" s="405"/>
      <c r="MI2" s="405"/>
      <c r="MJ2" s="405"/>
      <c r="MK2" s="405"/>
      <c r="ML2" s="405"/>
      <c r="MM2" s="405"/>
      <c r="MN2" s="405"/>
      <c r="MO2" s="405"/>
      <c r="MP2" s="405"/>
      <c r="MQ2" s="405"/>
      <c r="MR2" s="405"/>
      <c r="MS2" s="405"/>
      <c r="MT2" s="405"/>
      <c r="MU2" s="405"/>
      <c r="MV2" s="405"/>
      <c r="MW2" s="405"/>
      <c r="MX2" s="405"/>
      <c r="MY2" s="405"/>
      <c r="MZ2" s="405"/>
      <c r="NA2" s="405"/>
      <c r="NB2" s="405"/>
      <c r="NC2" s="405"/>
      <c r="ND2" s="405"/>
      <c r="NE2" s="405"/>
      <c r="NF2" s="405"/>
      <c r="NG2" s="405"/>
      <c r="NH2" s="405"/>
      <c r="NI2" s="405"/>
      <c r="NJ2" s="405"/>
      <c r="NK2" s="405"/>
      <c r="NL2" s="405"/>
      <c r="NM2" s="405"/>
      <c r="NN2" s="405"/>
      <c r="NO2" s="405"/>
      <c r="NP2" s="405"/>
      <c r="NQ2" s="405"/>
      <c r="NR2" s="405"/>
      <c r="NS2" s="405"/>
      <c r="NT2" s="405"/>
      <c r="NU2" s="405"/>
      <c r="NV2" s="405"/>
      <c r="NW2" s="405"/>
      <c r="NX2" s="405"/>
      <c r="NY2" s="405"/>
      <c r="NZ2" s="405"/>
      <c r="OA2" s="405"/>
      <c r="OB2" s="405"/>
      <c r="OC2" s="405"/>
      <c r="OD2" s="405"/>
      <c r="OE2" s="405"/>
      <c r="OF2" s="405"/>
      <c r="OG2" s="405"/>
      <c r="OH2" s="405"/>
      <c r="OI2" s="405"/>
      <c r="OJ2" s="405"/>
      <c r="OK2" s="405"/>
      <c r="OL2" s="405"/>
      <c r="OM2" s="405"/>
      <c r="ON2" s="405"/>
      <c r="OO2" s="405"/>
      <c r="OP2" s="405"/>
      <c r="OQ2" s="405"/>
      <c r="OR2" s="405"/>
      <c r="OS2" s="405"/>
      <c r="OT2" s="405"/>
      <c r="OU2" s="405"/>
      <c r="OV2" s="405"/>
      <c r="OW2" s="405"/>
      <c r="OX2" s="405"/>
      <c r="OY2" s="405"/>
      <c r="OZ2" s="405"/>
      <c r="PA2" s="405"/>
      <c r="PB2" s="405"/>
      <c r="PC2" s="405"/>
      <c r="PD2" s="405"/>
      <c r="PE2" s="405"/>
      <c r="PF2" s="405"/>
      <c r="PG2" s="405"/>
      <c r="PH2" s="405"/>
      <c r="PI2" s="405"/>
      <c r="PJ2" s="405"/>
      <c r="PK2" s="405"/>
      <c r="PL2" s="405"/>
      <c r="PM2" s="405"/>
      <c r="PN2" s="405"/>
      <c r="PO2" s="405"/>
      <c r="PP2" s="405"/>
      <c r="PQ2" s="405"/>
      <c r="PR2" s="405"/>
      <c r="PS2" s="405"/>
      <c r="PT2" s="405"/>
      <c r="PU2" s="405"/>
      <c r="PV2" s="405"/>
      <c r="PW2" s="405"/>
      <c r="PX2" s="405"/>
      <c r="PY2" s="405"/>
      <c r="PZ2" s="405"/>
      <c r="QA2" s="405"/>
      <c r="QB2" s="405"/>
      <c r="QC2" s="405"/>
      <c r="QD2" s="405"/>
      <c r="QE2" s="405"/>
      <c r="QF2" s="405"/>
      <c r="QG2" s="405"/>
      <c r="QH2" s="405"/>
      <c r="QI2" s="405"/>
      <c r="QJ2" s="405"/>
      <c r="QK2" s="405"/>
      <c r="QL2" s="405"/>
      <c r="QM2" s="405"/>
      <c r="QN2" s="405"/>
      <c r="QO2" s="405"/>
      <c r="QP2" s="405"/>
      <c r="QQ2" s="405"/>
      <c r="QR2" s="405"/>
      <c r="QS2" s="405"/>
      <c r="QT2" s="405"/>
      <c r="QU2" s="405"/>
      <c r="QV2" s="405"/>
      <c r="QW2" s="405"/>
      <c r="QX2" s="405"/>
      <c r="QY2" s="405"/>
      <c r="QZ2" s="405"/>
      <c r="RA2" s="405"/>
      <c r="RB2" s="405"/>
      <c r="RC2" s="405"/>
      <c r="RD2" s="405"/>
      <c r="RE2" s="405"/>
      <c r="RF2" s="405"/>
      <c r="RG2" s="405"/>
      <c r="RH2" s="405"/>
      <c r="RI2" s="405"/>
      <c r="RJ2" s="405"/>
      <c r="RK2" s="405"/>
      <c r="RL2" s="405"/>
      <c r="RM2" s="405"/>
      <c r="RN2" s="405"/>
      <c r="RO2" s="405"/>
    </row>
    <row r="3" spans="1:483" s="413" customFormat="1" ht="14.6">
      <c r="A3" s="407" t="s">
        <v>20</v>
      </c>
      <c r="B3" s="407" t="s">
        <v>20</v>
      </c>
      <c r="C3" s="408" t="s">
        <v>111</v>
      </c>
      <c r="D3" s="409" t="s">
        <v>112</v>
      </c>
      <c r="E3" s="409" t="s">
        <v>113</v>
      </c>
      <c r="F3" s="410" t="s">
        <v>114</v>
      </c>
      <c r="G3" s="409" t="s">
        <v>111</v>
      </c>
      <c r="H3" s="409" t="s">
        <v>112</v>
      </c>
      <c r="I3" s="409" t="s">
        <v>113</v>
      </c>
      <c r="J3" s="410" t="s">
        <v>114</v>
      </c>
      <c r="K3" s="408" t="s">
        <v>111</v>
      </c>
      <c r="L3" s="409" t="s">
        <v>112</v>
      </c>
      <c r="M3" s="409" t="s">
        <v>113</v>
      </c>
      <c r="N3" s="411" t="s">
        <v>115</v>
      </c>
      <c r="O3" s="409" t="s">
        <v>111</v>
      </c>
      <c r="P3" s="409" t="s">
        <v>112</v>
      </c>
      <c r="Q3" s="409" t="s">
        <v>113</v>
      </c>
      <c r="R3" s="410" t="s">
        <v>114</v>
      </c>
      <c r="S3" s="409" t="s">
        <v>111</v>
      </c>
      <c r="T3" s="409" t="s">
        <v>112</v>
      </c>
      <c r="U3" s="409" t="s">
        <v>113</v>
      </c>
      <c r="V3" s="410" t="s">
        <v>114</v>
      </c>
      <c r="W3" s="409" t="s">
        <v>111</v>
      </c>
      <c r="X3" s="409" t="s">
        <v>112</v>
      </c>
      <c r="Y3" s="409" t="s">
        <v>113</v>
      </c>
      <c r="Z3" s="410" t="s">
        <v>114</v>
      </c>
      <c r="AA3" s="412" t="s">
        <v>111</v>
      </c>
      <c r="AB3" s="409" t="s">
        <v>112</v>
      </c>
      <c r="AC3" s="409" t="s">
        <v>113</v>
      </c>
      <c r="AD3" s="410" t="s">
        <v>114</v>
      </c>
      <c r="AE3" s="412" t="s">
        <v>111</v>
      </c>
      <c r="AF3" s="409" t="s">
        <v>112</v>
      </c>
      <c r="AG3" s="409" t="s">
        <v>113</v>
      </c>
      <c r="AH3" s="410" t="s">
        <v>114</v>
      </c>
      <c r="AI3" s="412" t="s">
        <v>111</v>
      </c>
      <c r="AJ3" s="409" t="s">
        <v>112</v>
      </c>
      <c r="AK3" s="409" t="s">
        <v>113</v>
      </c>
      <c r="AL3" s="410" t="s">
        <v>114</v>
      </c>
      <c r="AM3" s="412" t="s">
        <v>111</v>
      </c>
      <c r="AN3" s="409" t="s">
        <v>112</v>
      </c>
      <c r="AO3" s="409" t="s">
        <v>113</v>
      </c>
      <c r="AP3" s="410" t="s">
        <v>114</v>
      </c>
      <c r="AQ3" s="412" t="s">
        <v>111</v>
      </c>
      <c r="AR3" s="409" t="s">
        <v>112</v>
      </c>
      <c r="AS3" s="409" t="s">
        <v>113</v>
      </c>
      <c r="AT3" s="410" t="s">
        <v>114</v>
      </c>
      <c r="AU3" s="412" t="s">
        <v>111</v>
      </c>
      <c r="AV3" s="409" t="s">
        <v>112</v>
      </c>
      <c r="AW3" s="409" t="s">
        <v>113</v>
      </c>
      <c r="AX3" s="410" t="s">
        <v>114</v>
      </c>
      <c r="AY3" s="412" t="s">
        <v>111</v>
      </c>
      <c r="AZ3" s="409" t="s">
        <v>112</v>
      </c>
      <c r="BA3" s="409" t="s">
        <v>113</v>
      </c>
      <c r="BB3" s="410" t="s">
        <v>114</v>
      </c>
      <c r="BC3" s="412" t="s">
        <v>111</v>
      </c>
      <c r="BD3" s="409" t="s">
        <v>112</v>
      </c>
      <c r="BE3" s="409" t="s">
        <v>113</v>
      </c>
      <c r="BF3" s="410" t="s">
        <v>114</v>
      </c>
    </row>
    <row r="4" spans="1:483" s="418" customFormat="1" ht="16.5" customHeight="1">
      <c r="A4" s="414"/>
      <c r="B4" s="415"/>
      <c r="C4" s="416" t="s">
        <v>116</v>
      </c>
      <c r="D4" s="416" t="s">
        <v>117</v>
      </c>
      <c r="E4" s="387" t="s">
        <v>118</v>
      </c>
      <c r="F4" s="417" t="s">
        <v>119</v>
      </c>
      <c r="G4" s="416" t="s">
        <v>116</v>
      </c>
      <c r="H4" s="416" t="s">
        <v>117</v>
      </c>
      <c r="I4" s="387" t="s">
        <v>118</v>
      </c>
      <c r="J4" s="417" t="s">
        <v>119</v>
      </c>
      <c r="K4" s="416" t="s">
        <v>116</v>
      </c>
      <c r="L4" s="416" t="s">
        <v>117</v>
      </c>
      <c r="M4" s="387" t="s">
        <v>118</v>
      </c>
      <c r="N4" s="417" t="s">
        <v>120</v>
      </c>
      <c r="O4" s="416" t="s">
        <v>116</v>
      </c>
      <c r="P4" s="416" t="s">
        <v>117</v>
      </c>
      <c r="Q4" s="387" t="s">
        <v>118</v>
      </c>
      <c r="R4" s="417" t="s">
        <v>119</v>
      </c>
      <c r="S4" s="416" t="s">
        <v>116</v>
      </c>
      <c r="T4" s="416" t="s">
        <v>117</v>
      </c>
      <c r="U4" s="387" t="s">
        <v>118</v>
      </c>
      <c r="V4" s="417" t="s">
        <v>119</v>
      </c>
      <c r="W4" s="416" t="s">
        <v>116</v>
      </c>
      <c r="X4" s="416" t="s">
        <v>117</v>
      </c>
      <c r="Y4" s="387" t="s">
        <v>118</v>
      </c>
      <c r="Z4" s="417" t="s">
        <v>119</v>
      </c>
      <c r="AA4" s="416" t="s">
        <v>116</v>
      </c>
      <c r="AB4" s="416" t="s">
        <v>117</v>
      </c>
      <c r="AC4" s="387" t="s">
        <v>118</v>
      </c>
      <c r="AD4" s="417" t="s">
        <v>119</v>
      </c>
      <c r="AE4" s="416" t="s">
        <v>116</v>
      </c>
      <c r="AF4" s="416" t="s">
        <v>117</v>
      </c>
      <c r="AG4" s="387" t="s">
        <v>118</v>
      </c>
      <c r="AH4" s="417" t="s">
        <v>119</v>
      </c>
      <c r="AI4" s="416" t="s">
        <v>116</v>
      </c>
      <c r="AJ4" s="416" t="s">
        <v>117</v>
      </c>
      <c r="AK4" s="387" t="s">
        <v>118</v>
      </c>
      <c r="AL4" s="417" t="s">
        <v>119</v>
      </c>
      <c r="AM4" s="416" t="s">
        <v>116</v>
      </c>
      <c r="AN4" s="416" t="s">
        <v>117</v>
      </c>
      <c r="AO4" s="387" t="s">
        <v>118</v>
      </c>
      <c r="AP4" s="417" t="s">
        <v>119</v>
      </c>
      <c r="AQ4" s="416" t="s">
        <v>116</v>
      </c>
      <c r="AR4" s="416" t="s">
        <v>117</v>
      </c>
      <c r="AS4" s="387" t="s">
        <v>118</v>
      </c>
      <c r="AT4" s="417" t="s">
        <v>119</v>
      </c>
      <c r="AU4" s="416" t="s">
        <v>116</v>
      </c>
      <c r="AV4" s="416" t="s">
        <v>117</v>
      </c>
      <c r="AW4" s="387" t="s">
        <v>118</v>
      </c>
      <c r="AX4" s="417" t="s">
        <v>119</v>
      </c>
      <c r="AY4" s="416" t="s">
        <v>116</v>
      </c>
      <c r="AZ4" s="416" t="s">
        <v>117</v>
      </c>
      <c r="BA4" s="387" t="s">
        <v>118</v>
      </c>
      <c r="BB4" s="417" t="s">
        <v>119</v>
      </c>
      <c r="BC4" s="416" t="s">
        <v>116</v>
      </c>
      <c r="BD4" s="416" t="s">
        <v>117</v>
      </c>
      <c r="BE4" s="387" t="s">
        <v>118</v>
      </c>
      <c r="BF4" s="417" t="s">
        <v>119</v>
      </c>
    </row>
    <row r="5" spans="1:483" s="372" customFormat="1" ht="38.25" customHeight="1">
      <c r="A5" s="370" t="s">
        <v>121</v>
      </c>
      <c r="B5" s="371" t="s">
        <v>122</v>
      </c>
      <c r="C5" s="400"/>
      <c r="D5" s="400"/>
      <c r="E5" s="401"/>
      <c r="F5" s="402"/>
      <c r="G5" s="400"/>
      <c r="H5" s="400"/>
      <c r="I5" s="401"/>
      <c r="J5" s="402"/>
      <c r="K5" s="400"/>
      <c r="L5" s="400"/>
      <c r="M5" s="401"/>
      <c r="N5" s="402"/>
      <c r="O5" s="400"/>
      <c r="P5" s="400"/>
      <c r="Q5" s="401"/>
      <c r="R5" s="402"/>
      <c r="S5" s="400"/>
      <c r="T5" s="400"/>
      <c r="U5" s="401"/>
      <c r="V5" s="402"/>
      <c r="W5" s="400"/>
      <c r="X5" s="400"/>
      <c r="Y5" s="401"/>
      <c r="Z5" s="402"/>
      <c r="AA5" s="400"/>
      <c r="AB5" s="400"/>
      <c r="AC5" s="401"/>
      <c r="AD5" s="402"/>
      <c r="AE5" s="400"/>
      <c r="AF5" s="400"/>
      <c r="AG5" s="401"/>
      <c r="AH5" s="402"/>
      <c r="AI5" s="400"/>
      <c r="AJ5" s="400"/>
      <c r="AK5" s="401"/>
      <c r="AL5" s="402"/>
      <c r="AM5" s="400"/>
      <c r="AN5" s="400"/>
      <c r="AO5" s="401"/>
      <c r="AP5" s="402"/>
      <c r="AQ5" s="400"/>
      <c r="AR5" s="400"/>
      <c r="AS5" s="401"/>
      <c r="AT5" s="402"/>
      <c r="AU5" s="400"/>
      <c r="AV5" s="726"/>
      <c r="AW5" s="401"/>
      <c r="AX5" s="402"/>
      <c r="AY5" s="400"/>
      <c r="AZ5" s="726"/>
      <c r="BA5" s="401"/>
      <c r="BB5" s="402"/>
      <c r="BC5" s="400"/>
      <c r="BD5" s="726"/>
      <c r="BE5" s="401"/>
      <c r="BF5" s="402"/>
    </row>
    <row r="6" spans="1:483" s="7" customFormat="1" ht="20.149999999999999" customHeight="1">
      <c r="A6" s="27" t="s">
        <v>123</v>
      </c>
      <c r="B6" s="105" t="s">
        <v>124</v>
      </c>
      <c r="C6" s="17">
        <f>415.308</f>
        <v>415.30799999999999</v>
      </c>
      <c r="D6" s="17">
        <f>419.479</f>
        <v>419.47899999999998</v>
      </c>
      <c r="E6" s="30">
        <f>(425068)*0.001</f>
        <v>425.06799999999998</v>
      </c>
      <c r="F6" s="183">
        <f>(420060)*0.001</f>
        <v>420.06</v>
      </c>
      <c r="G6" s="30">
        <f>(419894)*0.001</f>
        <v>419.89400000000001</v>
      </c>
      <c r="H6" s="30">
        <f>(418521)*0.001</f>
        <v>418.52100000000002</v>
      </c>
      <c r="I6" s="30">
        <f>(409736)*0.001</f>
        <v>409.73599999999999</v>
      </c>
      <c r="J6" s="183">
        <f>(407579)*0.001</f>
        <v>407.57900000000001</v>
      </c>
      <c r="K6" s="40">
        <f>(395393)*0.001</f>
        <v>395.39300000000003</v>
      </c>
      <c r="L6" s="17">
        <v>384.8</v>
      </c>
      <c r="M6" s="17">
        <v>417</v>
      </c>
      <c r="N6" s="183">
        <v>421.1</v>
      </c>
      <c r="O6" s="17">
        <v>416.6</v>
      </c>
      <c r="P6" s="17">
        <v>401.1</v>
      </c>
      <c r="Q6" s="17">
        <v>377</v>
      </c>
      <c r="R6" s="183">
        <v>371</v>
      </c>
      <c r="S6" s="77">
        <v>356.7</v>
      </c>
      <c r="T6" s="77">
        <v>353.3</v>
      </c>
      <c r="U6" s="77">
        <v>350.4</v>
      </c>
      <c r="V6" s="183">
        <v>350.9</v>
      </c>
      <c r="W6" s="77">
        <v>342.2</v>
      </c>
      <c r="X6" s="77">
        <v>332.9</v>
      </c>
      <c r="Y6" s="77">
        <v>324</v>
      </c>
      <c r="Z6" s="183">
        <v>325.3</v>
      </c>
      <c r="AA6" s="77">
        <v>312.5</v>
      </c>
      <c r="AB6" s="77">
        <v>294.10000000000002</v>
      </c>
      <c r="AC6" s="77">
        <v>275.8</v>
      </c>
      <c r="AD6" s="183">
        <v>264.5</v>
      </c>
      <c r="AE6" s="77">
        <v>258.2</v>
      </c>
      <c r="AF6" s="77">
        <v>249.4</v>
      </c>
      <c r="AG6" s="34">
        <v>248.8</v>
      </c>
      <c r="AH6" s="183">
        <v>262.7</v>
      </c>
      <c r="AI6" s="77">
        <v>267.39999999999998</v>
      </c>
      <c r="AJ6" s="77">
        <v>277</v>
      </c>
      <c r="AK6" s="34">
        <v>288</v>
      </c>
      <c r="AL6" s="183">
        <v>293.39999999999998</v>
      </c>
      <c r="AM6" s="77">
        <v>297.3</v>
      </c>
      <c r="AN6" s="77">
        <v>288.60000000000002</v>
      </c>
      <c r="AO6" s="34">
        <v>279.89999999999998</v>
      </c>
      <c r="AP6" s="183">
        <v>284</v>
      </c>
      <c r="AQ6" s="77">
        <v>292.7</v>
      </c>
      <c r="AR6" s="664">
        <v>288.8</v>
      </c>
      <c r="AS6" s="664">
        <v>278.5</v>
      </c>
      <c r="AT6" s="183">
        <v>282</v>
      </c>
      <c r="AU6" s="77">
        <v>278.7</v>
      </c>
      <c r="AV6" s="664">
        <v>273.3</v>
      </c>
      <c r="AW6" s="664">
        <v>287.2</v>
      </c>
      <c r="AX6" s="196" t="s">
        <v>125</v>
      </c>
      <c r="AY6" s="780" t="s">
        <v>125</v>
      </c>
      <c r="AZ6" s="196" t="s">
        <v>125</v>
      </c>
      <c r="BA6" s="196" t="s">
        <v>125</v>
      </c>
      <c r="BB6" s="196" t="s">
        <v>125</v>
      </c>
      <c r="BC6" s="780" t="s">
        <v>125</v>
      </c>
      <c r="BD6" s="196" t="s">
        <v>125</v>
      </c>
      <c r="BE6" s="196" t="s">
        <v>125</v>
      </c>
      <c r="BF6" s="196" t="s">
        <v>125</v>
      </c>
      <c r="BG6" s="780"/>
    </row>
    <row r="7" spans="1:483" s="7" customFormat="1" ht="20.149999999999999" customHeight="1">
      <c r="A7" s="27" t="s">
        <v>126</v>
      </c>
      <c r="B7" s="105" t="s">
        <v>127</v>
      </c>
      <c r="C7" s="17">
        <f>258.7</f>
        <v>258.7</v>
      </c>
      <c r="D7" s="17">
        <f>258.506</f>
        <v>258.50599999999997</v>
      </c>
      <c r="E7" s="30">
        <f>(257043)*0.001</f>
        <v>257.04300000000001</v>
      </c>
      <c r="F7" s="183">
        <f>(276407)*0.001</f>
        <v>276.40699999999998</v>
      </c>
      <c r="G7" s="30">
        <f>(266252)*0.001</f>
        <v>266.25200000000001</v>
      </c>
      <c r="H7" s="30">
        <f>(265011)*0.001</f>
        <v>265.01100000000002</v>
      </c>
      <c r="I7" s="30">
        <f>(252063)*0.001</f>
        <v>252.06300000000002</v>
      </c>
      <c r="J7" s="183">
        <f>(251152)*0.001</f>
        <v>251.15200000000002</v>
      </c>
      <c r="K7" s="40">
        <f>(248178)*0.001</f>
        <v>248.178</v>
      </c>
      <c r="L7" s="16">
        <v>3010.6</v>
      </c>
      <c r="M7" s="16">
        <v>2933.8</v>
      </c>
      <c r="N7" s="183">
        <v>2714.9</v>
      </c>
      <c r="O7" s="17">
        <v>2855.8</v>
      </c>
      <c r="P7" s="17">
        <v>2541.1999999999998</v>
      </c>
      <c r="Q7" s="16">
        <v>2535.1999999999998</v>
      </c>
      <c r="R7" s="183">
        <v>2548.6</v>
      </c>
      <c r="S7" s="77">
        <v>3002.2</v>
      </c>
      <c r="T7" s="77">
        <v>2931</v>
      </c>
      <c r="U7" s="77">
        <v>2882.8</v>
      </c>
      <c r="V7" s="183">
        <v>2964.3</v>
      </c>
      <c r="W7" s="77">
        <v>2885.9</v>
      </c>
      <c r="X7" s="77">
        <v>2904.7</v>
      </c>
      <c r="Y7" s="77">
        <v>2866.4</v>
      </c>
      <c r="Z7" s="183">
        <v>2867.1</v>
      </c>
      <c r="AA7" s="77">
        <v>2797</v>
      </c>
      <c r="AB7" s="77">
        <v>4419.8999999999996</v>
      </c>
      <c r="AC7" s="77">
        <v>4438</v>
      </c>
      <c r="AD7" s="183">
        <v>4792.2</v>
      </c>
      <c r="AE7" s="77">
        <v>4720.3</v>
      </c>
      <c r="AF7" s="77">
        <v>4782.7</v>
      </c>
      <c r="AG7" s="34">
        <v>4797.3</v>
      </c>
      <c r="AH7" s="183">
        <v>4976.8999999999996</v>
      </c>
      <c r="AI7" s="77">
        <v>5004.3</v>
      </c>
      <c r="AJ7" s="77">
        <v>5041.8</v>
      </c>
      <c r="AK7" s="34">
        <v>5135.3999999999996</v>
      </c>
      <c r="AL7" s="183">
        <v>5391</v>
      </c>
      <c r="AM7" s="77">
        <v>2877.2</v>
      </c>
      <c r="AN7" s="77">
        <v>3072.7</v>
      </c>
      <c r="AO7" s="34">
        <v>3206.2</v>
      </c>
      <c r="AP7" s="183">
        <v>3326.9</v>
      </c>
      <c r="AQ7" s="77">
        <v>3375.4</v>
      </c>
      <c r="AR7" s="664">
        <v>3566.7</v>
      </c>
      <c r="AS7" s="664">
        <v>3481</v>
      </c>
      <c r="AT7" s="183">
        <v>3600.9</v>
      </c>
      <c r="AU7" s="77">
        <v>3601.5</v>
      </c>
      <c r="AV7" s="678">
        <v>3592.7</v>
      </c>
      <c r="AW7" s="678">
        <v>5680.9</v>
      </c>
      <c r="AX7" s="216">
        <v>6494.3</v>
      </c>
      <c r="AY7" s="190">
        <v>6571.9</v>
      </c>
      <c r="AZ7" s="678">
        <v>6729.2</v>
      </c>
      <c r="BA7" s="678">
        <v>7058.7</v>
      </c>
      <c r="BB7" s="216">
        <v>7423.3</v>
      </c>
      <c r="BC7" s="190">
        <v>7571.2</v>
      </c>
      <c r="BD7" s="678"/>
      <c r="BE7" s="678"/>
      <c r="BF7" s="216"/>
    </row>
    <row r="8" spans="1:483" s="7" customFormat="1" ht="20.149999999999999" customHeight="1">
      <c r="A8" s="27" t="s">
        <v>128</v>
      </c>
      <c r="B8" s="105" t="s">
        <v>129</v>
      </c>
      <c r="C8" s="17">
        <f>2422.989</f>
        <v>2422.989</v>
      </c>
      <c r="D8" s="17">
        <f>2575.456</f>
        <v>2575.4560000000001</v>
      </c>
      <c r="E8" s="17">
        <f>(2575456)*0.001</f>
        <v>2575.4560000000001</v>
      </c>
      <c r="F8" s="184">
        <f>(2568033)*0.001</f>
        <v>2568.0329999999999</v>
      </c>
      <c r="G8" s="17">
        <f>(2568033)*0.001</f>
        <v>2568.0329999999999</v>
      </c>
      <c r="H8" s="17">
        <f>(2568033)*0.001</f>
        <v>2568.0329999999999</v>
      </c>
      <c r="I8" s="17">
        <f>(2637594)*0.001</f>
        <v>2637.5940000000001</v>
      </c>
      <c r="J8" s="184">
        <f>(2602804)*0.001</f>
        <v>2602.8040000000001</v>
      </c>
      <c r="K8" s="17">
        <f>(2602804)*0.001</f>
        <v>2602.8040000000001</v>
      </c>
      <c r="L8" s="16">
        <v>11735.5</v>
      </c>
      <c r="M8" s="16">
        <v>11735.5</v>
      </c>
      <c r="N8" s="184">
        <v>10585.3</v>
      </c>
      <c r="O8" s="17">
        <v>10831.2</v>
      </c>
      <c r="P8" s="17">
        <v>10606.4</v>
      </c>
      <c r="Q8" s="16">
        <v>10606.4</v>
      </c>
      <c r="R8" s="184">
        <v>10606.4</v>
      </c>
      <c r="S8" s="77">
        <v>11675.3</v>
      </c>
      <c r="T8" s="77">
        <v>10975.2</v>
      </c>
      <c r="U8" s="77">
        <v>10975.3</v>
      </c>
      <c r="V8" s="184">
        <v>10975.4</v>
      </c>
      <c r="W8" s="77">
        <v>10975.4</v>
      </c>
      <c r="X8" s="77">
        <v>10975.4</v>
      </c>
      <c r="Y8" s="77">
        <v>10975.4</v>
      </c>
      <c r="Z8" s="184">
        <v>11041.7</v>
      </c>
      <c r="AA8" s="77">
        <v>11060.5</v>
      </c>
      <c r="AB8" s="77">
        <v>11530</v>
      </c>
      <c r="AC8" s="77">
        <v>11519.3</v>
      </c>
      <c r="AD8" s="184">
        <v>11309.4</v>
      </c>
      <c r="AE8" s="77">
        <v>11309.4</v>
      </c>
      <c r="AF8" s="77">
        <v>11316.4</v>
      </c>
      <c r="AG8" s="34">
        <v>11316.4</v>
      </c>
      <c r="AH8" s="184">
        <v>11336.4</v>
      </c>
      <c r="AI8" s="77">
        <v>11349.5</v>
      </c>
      <c r="AJ8" s="77">
        <v>11349.5</v>
      </c>
      <c r="AK8" s="34">
        <v>11801.8</v>
      </c>
      <c r="AL8" s="184">
        <v>11808.4</v>
      </c>
      <c r="AM8" s="77">
        <v>11808.4</v>
      </c>
      <c r="AN8" s="77">
        <v>10664.9</v>
      </c>
      <c r="AO8" s="34">
        <v>10809</v>
      </c>
      <c r="AP8" s="184">
        <v>10802</v>
      </c>
      <c r="AQ8" s="77">
        <v>10831.9</v>
      </c>
      <c r="AR8" s="664">
        <v>10788</v>
      </c>
      <c r="AS8" s="664">
        <v>10810.9</v>
      </c>
      <c r="AT8" s="184">
        <v>10818.1</v>
      </c>
      <c r="AU8" s="77">
        <v>10818.2</v>
      </c>
      <c r="AV8" s="678">
        <v>10818.2</v>
      </c>
      <c r="AW8" s="678">
        <v>11276.7</v>
      </c>
      <c r="AX8" s="216">
        <v>10980.2</v>
      </c>
      <c r="AY8" s="190">
        <v>10975.4</v>
      </c>
      <c r="AZ8" s="678">
        <v>10971.2</v>
      </c>
      <c r="BA8" s="678">
        <v>10971.2</v>
      </c>
      <c r="BB8" s="216">
        <v>10975.3</v>
      </c>
      <c r="BC8" s="190">
        <v>10975.3</v>
      </c>
      <c r="BD8" s="678"/>
      <c r="BE8" s="678"/>
      <c r="BF8" s="216"/>
    </row>
    <row r="9" spans="1:483" s="7" customFormat="1" ht="20.149999999999999" customHeight="1">
      <c r="A9" s="27" t="s">
        <v>130</v>
      </c>
      <c r="B9" s="106" t="s">
        <v>131</v>
      </c>
      <c r="C9" s="18">
        <f>0</f>
        <v>0</v>
      </c>
      <c r="D9" s="18">
        <v>0</v>
      </c>
      <c r="E9" s="18">
        <f>0</f>
        <v>0</v>
      </c>
      <c r="F9" s="185">
        <v>0</v>
      </c>
      <c r="G9" s="18">
        <f>0</f>
        <v>0</v>
      </c>
      <c r="H9" s="18">
        <f>0</f>
        <v>0</v>
      </c>
      <c r="I9" s="18">
        <f>0</f>
        <v>0</v>
      </c>
      <c r="J9" s="185">
        <f>0</f>
        <v>0</v>
      </c>
      <c r="K9" s="31">
        <v>0</v>
      </c>
      <c r="L9" s="16">
        <v>4482</v>
      </c>
      <c r="M9" s="16">
        <v>4331.8999999999996</v>
      </c>
      <c r="N9" s="185">
        <v>4255.8</v>
      </c>
      <c r="O9" s="20">
        <v>4002.2</v>
      </c>
      <c r="P9" s="20">
        <v>3944.6</v>
      </c>
      <c r="Q9" s="16">
        <v>3791.6</v>
      </c>
      <c r="R9" s="185">
        <v>3638.5</v>
      </c>
      <c r="S9" s="34">
        <v>3488.7</v>
      </c>
      <c r="T9" s="34">
        <v>3337.3</v>
      </c>
      <c r="U9" s="34">
        <v>3184.2</v>
      </c>
      <c r="V9" s="185">
        <v>3031.2</v>
      </c>
      <c r="W9" s="34">
        <v>2883.1</v>
      </c>
      <c r="X9" s="34">
        <v>2762.8</v>
      </c>
      <c r="Y9" s="34">
        <v>2660.5</v>
      </c>
      <c r="Z9" s="185">
        <v>2557.3000000000002</v>
      </c>
      <c r="AA9" s="77">
        <v>2458.6</v>
      </c>
      <c r="AB9" s="76">
        <v>2358.6999999999998</v>
      </c>
      <c r="AC9" s="77">
        <v>2257.6999999999998</v>
      </c>
      <c r="AD9" s="185">
        <v>2212.1999999999998</v>
      </c>
      <c r="AE9" s="77">
        <v>2111.6</v>
      </c>
      <c r="AF9" s="34">
        <v>2009.9</v>
      </c>
      <c r="AG9" s="34">
        <v>1907</v>
      </c>
      <c r="AH9" s="185">
        <v>1821.4</v>
      </c>
      <c r="AI9" s="77">
        <v>1723.5</v>
      </c>
      <c r="AJ9" s="34">
        <v>1620.6</v>
      </c>
      <c r="AK9" s="34">
        <v>1516.7</v>
      </c>
      <c r="AL9" s="184">
        <v>1412.7</v>
      </c>
      <c r="AM9" s="77">
        <v>1310.9</v>
      </c>
      <c r="AN9" s="77">
        <v>1208</v>
      </c>
      <c r="AO9" s="34">
        <v>1110</v>
      </c>
      <c r="AP9" s="184">
        <v>1005.7</v>
      </c>
      <c r="AQ9" s="77">
        <v>903.6</v>
      </c>
      <c r="AR9" s="664">
        <v>858.2</v>
      </c>
      <c r="AS9" s="664">
        <v>750.9</v>
      </c>
      <c r="AT9" s="184">
        <v>643.70000000000005</v>
      </c>
      <c r="AU9" s="77">
        <v>538.70000000000005</v>
      </c>
      <c r="AV9" s="677">
        <v>432.6</v>
      </c>
      <c r="AW9" s="678">
        <v>325.3</v>
      </c>
      <c r="AX9" s="216">
        <v>300.2</v>
      </c>
      <c r="AY9" s="190">
        <v>191.1</v>
      </c>
      <c r="AZ9" s="677">
        <v>81.3</v>
      </c>
      <c r="BA9" s="678">
        <v>131.9</v>
      </c>
      <c r="BB9" s="216">
        <v>120.1</v>
      </c>
      <c r="BC9" s="190">
        <v>111</v>
      </c>
      <c r="BD9" s="677"/>
      <c r="BE9" s="678"/>
      <c r="BF9" s="216"/>
    </row>
    <row r="10" spans="1:483" s="7" customFormat="1" ht="20.149999999999999" customHeight="1">
      <c r="A10" s="27" t="s">
        <v>132</v>
      </c>
      <c r="B10" s="105" t="s">
        <v>133</v>
      </c>
      <c r="C10" s="17">
        <f>840</f>
        <v>840</v>
      </c>
      <c r="D10" s="30">
        <f>(840000)*0.001</f>
        <v>840</v>
      </c>
      <c r="E10" s="30">
        <f>(840000)*0.001</f>
        <v>840</v>
      </c>
      <c r="F10" s="183">
        <f>(847800)*0.001</f>
        <v>847.80000000000007</v>
      </c>
      <c r="G10" s="30">
        <f>(847800)*0.001</f>
        <v>847.80000000000007</v>
      </c>
      <c r="H10" s="30">
        <f>(847800)*0.001</f>
        <v>847.80000000000007</v>
      </c>
      <c r="I10" s="30">
        <f>(847800)*0.001</f>
        <v>847.80000000000007</v>
      </c>
      <c r="J10" s="183">
        <f>(890800)*0.001</f>
        <v>890.80000000000007</v>
      </c>
      <c r="K10" s="40">
        <f>(890800)*0.001</f>
        <v>890.80000000000007</v>
      </c>
      <c r="L10" s="21">
        <v>890.8</v>
      </c>
      <c r="M10" s="21">
        <v>890.8</v>
      </c>
      <c r="N10" s="183">
        <v>2085.9</v>
      </c>
      <c r="O10" s="17">
        <v>1783.7</v>
      </c>
      <c r="P10" s="17">
        <v>2092.6999999999998</v>
      </c>
      <c r="Q10" s="21">
        <v>2086.6</v>
      </c>
      <c r="R10" s="183">
        <v>2080.6</v>
      </c>
      <c r="S10" s="77">
        <v>2074.6</v>
      </c>
      <c r="T10" s="77">
        <v>2068.6</v>
      </c>
      <c r="U10" s="77">
        <v>2062.5</v>
      </c>
      <c r="V10" s="183">
        <v>2056.5</v>
      </c>
      <c r="W10" s="77">
        <v>2050.5</v>
      </c>
      <c r="X10" s="77">
        <v>2044.4</v>
      </c>
      <c r="Y10" s="77">
        <v>2038.4</v>
      </c>
      <c r="Z10" s="183">
        <v>2037.1</v>
      </c>
      <c r="AA10" s="77">
        <v>2031</v>
      </c>
      <c r="AB10" s="77">
        <v>2024.8</v>
      </c>
      <c r="AC10" s="77">
        <v>2019</v>
      </c>
      <c r="AD10" s="183">
        <v>2096.1</v>
      </c>
      <c r="AE10" s="77">
        <v>2087.9</v>
      </c>
      <c r="AF10" s="77">
        <v>2079.6999999999998</v>
      </c>
      <c r="AG10" s="34">
        <v>2071.4</v>
      </c>
      <c r="AH10" s="183">
        <v>2063.1999999999998</v>
      </c>
      <c r="AI10" s="77">
        <v>2054.9</v>
      </c>
      <c r="AJ10" s="77">
        <v>2048.1999999999998</v>
      </c>
      <c r="AK10" s="34">
        <v>2040</v>
      </c>
      <c r="AL10" s="183">
        <v>2031.7</v>
      </c>
      <c r="AM10" s="77">
        <v>2023.5</v>
      </c>
      <c r="AN10" s="77">
        <v>2095.1999999999998</v>
      </c>
      <c r="AO10" s="34">
        <v>2078.5</v>
      </c>
      <c r="AP10" s="183">
        <v>2069.6</v>
      </c>
      <c r="AQ10" s="77">
        <v>2060.6</v>
      </c>
      <c r="AR10" s="664">
        <v>2079.1999999999998</v>
      </c>
      <c r="AS10" s="664">
        <v>2070.1</v>
      </c>
      <c r="AT10" s="183">
        <v>2060.9</v>
      </c>
      <c r="AU10" s="77">
        <v>2041.2</v>
      </c>
      <c r="AV10" s="678">
        <v>2021.5</v>
      </c>
      <c r="AW10" s="678">
        <v>2000</v>
      </c>
      <c r="AX10" s="216">
        <v>1979.7</v>
      </c>
      <c r="AY10" s="190">
        <v>1959.7</v>
      </c>
      <c r="AZ10" s="678">
        <v>1947.4</v>
      </c>
      <c r="BA10" s="678">
        <v>1926.7</v>
      </c>
      <c r="BB10" s="216">
        <v>1906.3</v>
      </c>
      <c r="BC10" s="190">
        <v>1885.9</v>
      </c>
      <c r="BD10" s="678"/>
      <c r="BE10" s="678"/>
      <c r="BF10" s="216"/>
    </row>
    <row r="11" spans="1:483" s="7" customFormat="1" ht="20.149999999999999" customHeight="1">
      <c r="A11" s="27" t="s">
        <v>134</v>
      </c>
      <c r="B11" s="105" t="s">
        <v>135</v>
      </c>
      <c r="C11" s="17">
        <f>69.466</f>
        <v>69.465999999999994</v>
      </c>
      <c r="D11" s="30">
        <f>(69627)*0.001</f>
        <v>69.626999999999995</v>
      </c>
      <c r="E11" s="30">
        <f>(68459)*0.001</f>
        <v>68.459000000000003</v>
      </c>
      <c r="F11" s="183">
        <f>(81380)*0.001</f>
        <v>81.38</v>
      </c>
      <c r="G11" s="30">
        <f>(82841)*0.001</f>
        <v>82.841000000000008</v>
      </c>
      <c r="H11" s="30">
        <f>(83804)*0.001</f>
        <v>83.804000000000002</v>
      </c>
      <c r="I11" s="30">
        <f>(115337)*0.001</f>
        <v>115.337</v>
      </c>
      <c r="J11" s="183">
        <f>(137401)*0.001</f>
        <v>137.40100000000001</v>
      </c>
      <c r="K11" s="40">
        <f>(136697)*0.001</f>
        <v>136.697</v>
      </c>
      <c r="L11" s="16">
        <v>2360.6</v>
      </c>
      <c r="M11" s="16">
        <v>2624.2</v>
      </c>
      <c r="N11" s="183">
        <v>2591.4</v>
      </c>
      <c r="O11" s="17">
        <v>2527.5</v>
      </c>
      <c r="P11" s="17">
        <v>2525.8000000000002</v>
      </c>
      <c r="Q11" s="16">
        <v>2464.1999999999998</v>
      </c>
      <c r="R11" s="183">
        <v>2422.1999999999998</v>
      </c>
      <c r="S11" s="77">
        <v>2988.7</v>
      </c>
      <c r="T11" s="77">
        <v>3903</v>
      </c>
      <c r="U11" s="77">
        <v>3769.5</v>
      </c>
      <c r="V11" s="183">
        <v>3656.2</v>
      </c>
      <c r="W11" s="77">
        <v>3540.5</v>
      </c>
      <c r="X11" s="77">
        <v>3471.1</v>
      </c>
      <c r="Y11" s="77">
        <v>3343.6</v>
      </c>
      <c r="Z11" s="183">
        <v>3261.5</v>
      </c>
      <c r="AA11" s="77">
        <v>3146.4</v>
      </c>
      <c r="AB11" s="77">
        <v>3097.5</v>
      </c>
      <c r="AC11" s="77">
        <v>3015.6</v>
      </c>
      <c r="AD11" s="183">
        <v>3005.5</v>
      </c>
      <c r="AE11" s="77">
        <v>2967.8</v>
      </c>
      <c r="AF11" s="77">
        <v>2943.7</v>
      </c>
      <c r="AG11" s="34">
        <v>2911.7</v>
      </c>
      <c r="AH11" s="183">
        <v>2857.8</v>
      </c>
      <c r="AI11" s="77">
        <v>2749.9</v>
      </c>
      <c r="AJ11" s="77">
        <v>2648.1</v>
      </c>
      <c r="AK11" s="34">
        <v>2602.3000000000002</v>
      </c>
      <c r="AL11" s="183">
        <v>2616.4</v>
      </c>
      <c r="AM11" s="77">
        <v>2503.3000000000002</v>
      </c>
      <c r="AN11" s="77">
        <v>2462.9</v>
      </c>
      <c r="AO11" s="34">
        <v>2400.1</v>
      </c>
      <c r="AP11" s="183">
        <v>2374.1</v>
      </c>
      <c r="AQ11" s="77">
        <v>2299.9</v>
      </c>
      <c r="AR11" s="664">
        <v>2228.9</v>
      </c>
      <c r="AS11" s="664">
        <v>2165.4</v>
      </c>
      <c r="AT11" s="183">
        <v>3340.6</v>
      </c>
      <c r="AU11" s="77">
        <v>3255.2</v>
      </c>
      <c r="AV11" s="678">
        <v>3166.5</v>
      </c>
      <c r="AW11" s="678">
        <v>3450.2</v>
      </c>
      <c r="AX11" s="216">
        <v>4835.8</v>
      </c>
      <c r="AY11" s="190">
        <v>4807.1000000000004</v>
      </c>
      <c r="AZ11" s="678">
        <v>4753.2</v>
      </c>
      <c r="BA11" s="678">
        <v>4699</v>
      </c>
      <c r="BB11" s="216">
        <v>4993</v>
      </c>
      <c r="BC11" s="190">
        <v>4921.8999999999996</v>
      </c>
      <c r="BD11" s="678"/>
      <c r="BE11" s="678"/>
      <c r="BF11" s="216"/>
    </row>
    <row r="12" spans="1:483" s="7" customFormat="1" ht="20.149999999999999" customHeight="1">
      <c r="A12" s="27" t="s">
        <v>136</v>
      </c>
      <c r="B12" s="107" t="s">
        <v>137</v>
      </c>
      <c r="C12" s="17"/>
      <c r="D12" s="30"/>
      <c r="E12" s="30"/>
      <c r="F12" s="183"/>
      <c r="G12" s="30"/>
      <c r="H12" s="30"/>
      <c r="I12" s="30"/>
      <c r="J12" s="183"/>
      <c r="K12" s="40"/>
      <c r="L12" s="16"/>
      <c r="M12" s="16"/>
      <c r="N12" s="183"/>
      <c r="O12" s="17"/>
      <c r="P12" s="17"/>
      <c r="Q12" s="16"/>
      <c r="R12" s="183"/>
      <c r="S12" s="77"/>
      <c r="T12" s="77"/>
      <c r="U12" s="77"/>
      <c r="V12" s="183"/>
      <c r="W12" s="77"/>
      <c r="X12" s="77"/>
      <c r="Y12" s="77"/>
      <c r="Z12" s="183"/>
      <c r="AA12" s="77"/>
      <c r="AB12" s="77"/>
      <c r="AC12" s="77"/>
      <c r="AD12" s="183"/>
      <c r="AE12" s="77">
        <v>1482</v>
      </c>
      <c r="AF12" s="77">
        <v>1408.2</v>
      </c>
      <c r="AG12" s="34">
        <v>1340.8</v>
      </c>
      <c r="AH12" s="183">
        <v>1420.3</v>
      </c>
      <c r="AI12" s="77">
        <v>1383.8</v>
      </c>
      <c r="AJ12" s="77">
        <v>1410.2</v>
      </c>
      <c r="AK12" s="34">
        <v>1398.7</v>
      </c>
      <c r="AL12" s="183">
        <v>1519.4</v>
      </c>
      <c r="AM12" s="77">
        <v>727</v>
      </c>
      <c r="AN12" s="77">
        <v>712.6</v>
      </c>
      <c r="AO12" s="34">
        <v>685.2</v>
      </c>
      <c r="AP12" s="183">
        <v>696.5</v>
      </c>
      <c r="AQ12" s="77">
        <v>671.8</v>
      </c>
      <c r="AR12" s="664">
        <v>545.79999999999995</v>
      </c>
      <c r="AS12" s="664">
        <v>517.5</v>
      </c>
      <c r="AT12" s="183">
        <v>527</v>
      </c>
      <c r="AU12" s="77">
        <v>527</v>
      </c>
      <c r="AV12" s="677">
        <v>520.5</v>
      </c>
      <c r="AW12" s="677">
        <v>597.9</v>
      </c>
      <c r="AX12" s="216">
        <v>644.6</v>
      </c>
      <c r="AY12" s="190">
        <v>685.3</v>
      </c>
      <c r="AZ12" s="677">
        <v>706.3</v>
      </c>
      <c r="BA12" s="677">
        <v>689.6</v>
      </c>
      <c r="BB12" s="216">
        <v>724.8</v>
      </c>
      <c r="BC12" s="190">
        <v>730.2</v>
      </c>
      <c r="BD12" s="677"/>
      <c r="BE12" s="677"/>
      <c r="BF12" s="216"/>
    </row>
    <row r="13" spans="1:483" s="7" customFormat="1" ht="20.149999999999999" customHeight="1">
      <c r="A13" s="27" t="s">
        <v>138</v>
      </c>
      <c r="B13" s="105" t="s">
        <v>139</v>
      </c>
      <c r="C13" s="17">
        <f>91.415</f>
        <v>91.415000000000006</v>
      </c>
      <c r="D13" s="30">
        <f>(95405)*0.001</f>
        <v>95.405000000000001</v>
      </c>
      <c r="E13" s="30">
        <f>(95323)*0.001</f>
        <v>95.323000000000008</v>
      </c>
      <c r="F13" s="183">
        <f>(97988)*0.001</f>
        <v>97.988</v>
      </c>
      <c r="G13" s="30">
        <f>(104074)*0.001</f>
        <v>104.074</v>
      </c>
      <c r="H13" s="30">
        <f>(115904)*0.001</f>
        <v>115.904</v>
      </c>
      <c r="I13" s="30">
        <f>(82162)*0.001</f>
        <v>82.162000000000006</v>
      </c>
      <c r="J13" s="183">
        <f>(71571)*0.001</f>
        <v>71.570999999999998</v>
      </c>
      <c r="K13" s="40">
        <f>(107548)*0.001</f>
        <v>107.548</v>
      </c>
      <c r="L13" s="21">
        <v>128.1</v>
      </c>
      <c r="M13" s="21">
        <v>148.80000000000001</v>
      </c>
      <c r="N13" s="183">
        <v>135.80000000000001</v>
      </c>
      <c r="O13" s="17">
        <v>158.69999999999999</v>
      </c>
      <c r="P13" s="17">
        <v>174.6</v>
      </c>
      <c r="Q13" s="21">
        <v>109</v>
      </c>
      <c r="R13" s="183">
        <v>145</v>
      </c>
      <c r="S13" s="77">
        <v>129.80000000000001</v>
      </c>
      <c r="T13" s="77">
        <v>156.19999999999999</v>
      </c>
      <c r="U13" s="77">
        <v>125.6</v>
      </c>
      <c r="V13" s="183">
        <v>151.80000000000001</v>
      </c>
      <c r="W13" s="77">
        <v>150</v>
      </c>
      <c r="X13" s="77">
        <v>167.3</v>
      </c>
      <c r="Y13" s="77">
        <v>180.5</v>
      </c>
      <c r="Z13" s="183">
        <v>170.1</v>
      </c>
      <c r="AA13" s="77">
        <v>170.1</v>
      </c>
      <c r="AB13" s="77">
        <v>211.1</v>
      </c>
      <c r="AC13" s="77">
        <v>584.29999999999995</v>
      </c>
      <c r="AD13" s="183">
        <v>503.8</v>
      </c>
      <c r="AE13" s="77">
        <v>474</v>
      </c>
      <c r="AF13" s="77">
        <v>517.5</v>
      </c>
      <c r="AG13" s="34">
        <v>445.4</v>
      </c>
      <c r="AH13" s="183">
        <v>402.6</v>
      </c>
      <c r="AI13" s="77">
        <v>330.4</v>
      </c>
      <c r="AJ13" s="77">
        <v>270.8</v>
      </c>
      <c r="AK13" s="34">
        <v>261.60000000000002</v>
      </c>
      <c r="AL13" s="183">
        <v>282.5</v>
      </c>
      <c r="AM13" s="77">
        <v>290.5</v>
      </c>
      <c r="AN13" s="77">
        <v>243.3</v>
      </c>
      <c r="AO13" s="34">
        <v>542.29999999999995</v>
      </c>
      <c r="AP13" s="183">
        <v>739.4</v>
      </c>
      <c r="AQ13" s="77">
        <v>460.9</v>
      </c>
      <c r="AR13" s="664">
        <v>606</v>
      </c>
      <c r="AS13" s="664">
        <v>442.8</v>
      </c>
      <c r="AT13" s="183">
        <v>501.8</v>
      </c>
      <c r="AU13" s="77">
        <v>372.3</v>
      </c>
      <c r="AV13" s="727">
        <v>342</v>
      </c>
      <c r="AW13" s="677">
        <v>327.9</v>
      </c>
      <c r="AX13" s="216">
        <v>304.8</v>
      </c>
      <c r="AY13" s="190">
        <v>285.89999999999998</v>
      </c>
      <c r="AZ13" s="727">
        <v>259.89999999999998</v>
      </c>
      <c r="BA13" s="677">
        <v>304.5</v>
      </c>
      <c r="BB13" s="216">
        <v>335.7</v>
      </c>
      <c r="BC13" s="190">
        <v>395</v>
      </c>
      <c r="BD13" s="727"/>
      <c r="BE13" s="677"/>
      <c r="BF13" s="216"/>
      <c r="BG13" s="717"/>
      <c r="BH13" s="717"/>
      <c r="BI13" s="716"/>
    </row>
    <row r="14" spans="1:483" s="7" customFormat="1" ht="20.149999999999999" customHeight="1">
      <c r="A14" s="27" t="s">
        <v>140</v>
      </c>
      <c r="B14" s="105" t="s">
        <v>141</v>
      </c>
      <c r="C14" s="17">
        <f>8.419</f>
        <v>8.4190000000000005</v>
      </c>
      <c r="D14" s="30">
        <f>(8398)*0.001</f>
        <v>8.3979999999999997</v>
      </c>
      <c r="E14" s="30">
        <f>(8378)*0.001</f>
        <v>8.3780000000000001</v>
      </c>
      <c r="F14" s="183">
        <f>(8357)*0.001</f>
        <v>8.3569999999999993</v>
      </c>
      <c r="G14" s="30">
        <f>(8336)*0.001</f>
        <v>8.3360000000000003</v>
      </c>
      <c r="H14" s="30">
        <f>(7788)*0.001</f>
        <v>7.7880000000000003</v>
      </c>
      <c r="I14" s="30">
        <f>(7427)*0.001</f>
        <v>7.4270000000000005</v>
      </c>
      <c r="J14" s="183">
        <f>(5330)*0.001</f>
        <v>5.33</v>
      </c>
      <c r="K14" s="40">
        <f>(5315)*0.001</f>
        <v>5.3150000000000004</v>
      </c>
      <c r="L14" s="21">
        <v>5.3</v>
      </c>
      <c r="M14" s="21">
        <v>5.3</v>
      </c>
      <c r="N14" s="183">
        <v>5.3</v>
      </c>
      <c r="O14" s="17">
        <v>5.2</v>
      </c>
      <c r="P14" s="17">
        <v>5.2</v>
      </c>
      <c r="Q14" s="21">
        <v>5.2</v>
      </c>
      <c r="R14" s="183">
        <v>5.2</v>
      </c>
      <c r="S14" s="77">
        <v>5.2</v>
      </c>
      <c r="T14" s="77">
        <v>5.2</v>
      </c>
      <c r="U14" s="77">
        <v>5.2</v>
      </c>
      <c r="V14" s="183">
        <v>5.0999999999999996</v>
      </c>
      <c r="W14" s="77">
        <v>5.0999999999999996</v>
      </c>
      <c r="X14" s="77">
        <v>5.0999999999999996</v>
      </c>
      <c r="Y14" s="77">
        <v>5.0999999999999996</v>
      </c>
      <c r="Z14" s="183">
        <v>5.0999999999999996</v>
      </c>
      <c r="AA14" s="77">
        <v>5.0999999999999996</v>
      </c>
      <c r="AB14" s="77">
        <v>30</v>
      </c>
      <c r="AC14" s="77">
        <v>29.9</v>
      </c>
      <c r="AD14" s="183">
        <v>29.9</v>
      </c>
      <c r="AE14" s="77">
        <v>29.7</v>
      </c>
      <c r="AF14" s="77">
        <v>29.6</v>
      </c>
      <c r="AG14" s="77">
        <v>29.5</v>
      </c>
      <c r="AH14" s="183">
        <v>29.4</v>
      </c>
      <c r="AI14" s="77">
        <v>29.3</v>
      </c>
      <c r="AJ14" s="77">
        <v>29.1</v>
      </c>
      <c r="AK14" s="77">
        <v>29</v>
      </c>
      <c r="AL14" s="183">
        <v>50</v>
      </c>
      <c r="AM14" s="77">
        <v>50.2</v>
      </c>
      <c r="AN14" s="77">
        <v>49.8</v>
      </c>
      <c r="AO14" s="77">
        <v>49.7</v>
      </c>
      <c r="AP14" s="183">
        <v>28.4</v>
      </c>
      <c r="AQ14" s="77">
        <v>28.3</v>
      </c>
      <c r="AR14" s="664">
        <v>1103.5</v>
      </c>
      <c r="AS14" s="664">
        <v>1107.0999999999999</v>
      </c>
      <c r="AT14" s="183">
        <v>647</v>
      </c>
      <c r="AU14" s="77">
        <v>652.4</v>
      </c>
      <c r="AV14" s="677">
        <v>594.1</v>
      </c>
      <c r="AW14" s="727">
        <v>579.79999999999995</v>
      </c>
      <c r="AX14" s="216">
        <v>700</v>
      </c>
      <c r="AY14" s="190">
        <v>694.9</v>
      </c>
      <c r="AZ14" s="677">
        <v>693.7</v>
      </c>
      <c r="BA14" s="727">
        <v>699.5</v>
      </c>
      <c r="BB14" s="216">
        <v>700.3</v>
      </c>
      <c r="BC14" s="190">
        <v>702.2</v>
      </c>
      <c r="BD14" s="677"/>
      <c r="BE14" s="727"/>
      <c r="BF14" s="216"/>
    </row>
    <row r="15" spans="1:483" s="7" customFormat="1" ht="20.149999999999999" customHeight="1">
      <c r="A15" s="27" t="s">
        <v>142</v>
      </c>
      <c r="B15" s="105" t="s">
        <v>143</v>
      </c>
      <c r="C15" s="45">
        <v>0</v>
      </c>
      <c r="D15" s="41">
        <f>(33259)*0.001</f>
        <v>33.259</v>
      </c>
      <c r="E15" s="41">
        <f>(33252)*0.001</f>
        <v>33.252000000000002</v>
      </c>
      <c r="F15" s="186">
        <f>(35125)*0.001</f>
        <v>35.125</v>
      </c>
      <c r="G15" s="41">
        <f>(34399)*0.001</f>
        <v>34.399000000000001</v>
      </c>
      <c r="H15" s="41">
        <f>(32935)*0.001</f>
        <v>32.935000000000002</v>
      </c>
      <c r="I15" s="41">
        <f>(29318)*0.001</f>
        <v>29.318000000000001</v>
      </c>
      <c r="J15" s="186">
        <f>(29551)*0.001</f>
        <v>29.551000000000002</v>
      </c>
      <c r="K15" s="42">
        <f>(26502)*0.001</f>
        <v>26.501999999999999</v>
      </c>
      <c r="L15" s="21">
        <v>46.2</v>
      </c>
      <c r="M15" s="21">
        <v>67</v>
      </c>
      <c r="N15" s="186">
        <v>81</v>
      </c>
      <c r="O15" s="17">
        <v>84.1</v>
      </c>
      <c r="P15" s="17">
        <v>82.3</v>
      </c>
      <c r="Q15" s="21">
        <v>81.2</v>
      </c>
      <c r="R15" s="186">
        <v>83.3</v>
      </c>
      <c r="S15" s="77">
        <v>81.099999999999994</v>
      </c>
      <c r="T15" s="77">
        <v>79.7</v>
      </c>
      <c r="U15" s="77">
        <v>80.400000000000006</v>
      </c>
      <c r="V15" s="186">
        <v>82.8</v>
      </c>
      <c r="W15" s="77">
        <v>83.8</v>
      </c>
      <c r="X15" s="77">
        <v>82.9</v>
      </c>
      <c r="Y15" s="77">
        <v>85.8</v>
      </c>
      <c r="Z15" s="186">
        <v>91.4</v>
      </c>
      <c r="AA15" s="77">
        <v>90.4</v>
      </c>
      <c r="AB15" s="77">
        <v>93</v>
      </c>
      <c r="AC15" s="77">
        <v>94.8</v>
      </c>
      <c r="AD15" s="186">
        <v>99.7</v>
      </c>
      <c r="AE15" s="77">
        <v>97.9</v>
      </c>
      <c r="AF15" s="77">
        <v>93.9</v>
      </c>
      <c r="AG15" s="77">
        <v>98.1</v>
      </c>
      <c r="AH15" s="186">
        <v>100.5</v>
      </c>
      <c r="AI15" s="77">
        <v>96</v>
      </c>
      <c r="AJ15" s="77">
        <v>91.1</v>
      </c>
      <c r="AK15" s="77">
        <v>94.9</v>
      </c>
      <c r="AL15" s="186">
        <v>93.5</v>
      </c>
      <c r="AM15" s="77">
        <v>90.6</v>
      </c>
      <c r="AN15" s="77">
        <v>82.1</v>
      </c>
      <c r="AO15" s="77">
        <v>77.099999999999994</v>
      </c>
      <c r="AP15" s="186">
        <v>73.5</v>
      </c>
      <c r="AQ15" s="77">
        <v>72.599999999999994</v>
      </c>
      <c r="AR15" s="664">
        <v>75</v>
      </c>
      <c r="AS15" s="664">
        <v>77.099999999999994</v>
      </c>
      <c r="AT15" s="186">
        <v>79.8</v>
      </c>
      <c r="AU15" s="77">
        <v>79.8</v>
      </c>
      <c r="AV15" s="677">
        <v>76.3</v>
      </c>
      <c r="AW15" s="677">
        <v>77.7</v>
      </c>
      <c r="AX15" s="216">
        <v>85</v>
      </c>
      <c r="AY15" s="190">
        <v>74.5</v>
      </c>
      <c r="AZ15" s="677">
        <v>75.400000000000006</v>
      </c>
      <c r="BA15" s="677">
        <v>77.7</v>
      </c>
      <c r="BB15" s="216">
        <v>92.2</v>
      </c>
      <c r="BC15" s="190">
        <v>96.6</v>
      </c>
      <c r="BD15" s="677"/>
      <c r="BE15" s="677"/>
      <c r="BF15" s="216"/>
    </row>
    <row r="16" spans="1:483" s="7" customFormat="1" ht="20.149999999999999" customHeight="1">
      <c r="A16" s="27" t="s">
        <v>144</v>
      </c>
      <c r="B16" s="108" t="s">
        <v>145</v>
      </c>
      <c r="C16" s="24">
        <v>0</v>
      </c>
      <c r="D16" s="24">
        <v>0</v>
      </c>
      <c r="E16" s="24">
        <v>0</v>
      </c>
      <c r="F16" s="187">
        <v>0</v>
      </c>
      <c r="G16" s="24">
        <v>0</v>
      </c>
      <c r="H16" s="24">
        <v>0</v>
      </c>
      <c r="I16" s="24">
        <v>0</v>
      </c>
      <c r="J16" s="187">
        <v>0</v>
      </c>
      <c r="K16" s="24">
        <v>0</v>
      </c>
      <c r="L16" s="24">
        <v>0</v>
      </c>
      <c r="M16" s="24">
        <v>0</v>
      </c>
      <c r="N16" s="187">
        <v>0</v>
      </c>
      <c r="O16" s="24">
        <v>0</v>
      </c>
      <c r="P16" s="24">
        <v>0</v>
      </c>
      <c r="Q16" s="24">
        <v>0</v>
      </c>
      <c r="R16" s="187">
        <v>0</v>
      </c>
      <c r="S16" s="77">
        <v>180.5</v>
      </c>
      <c r="T16" s="77">
        <v>0</v>
      </c>
      <c r="U16" s="77">
        <v>0</v>
      </c>
      <c r="V16" s="187">
        <v>0</v>
      </c>
      <c r="W16" s="77">
        <v>0</v>
      </c>
      <c r="X16" s="77">
        <v>0</v>
      </c>
      <c r="Y16" s="77">
        <v>0</v>
      </c>
      <c r="Z16" s="187">
        <v>0</v>
      </c>
      <c r="AA16" s="77">
        <v>0</v>
      </c>
      <c r="AB16" s="77">
        <v>0</v>
      </c>
      <c r="AC16" s="77">
        <v>0</v>
      </c>
      <c r="AD16" s="187">
        <v>0</v>
      </c>
      <c r="AE16" s="77">
        <v>0</v>
      </c>
      <c r="AF16" s="77">
        <v>0</v>
      </c>
      <c r="AG16" s="77">
        <v>0</v>
      </c>
      <c r="AH16" s="187">
        <v>0</v>
      </c>
      <c r="AI16" s="77">
        <v>0</v>
      </c>
      <c r="AJ16" s="77">
        <v>0</v>
      </c>
      <c r="AK16" s="77">
        <v>0</v>
      </c>
      <c r="AL16" s="187">
        <v>0</v>
      </c>
      <c r="AM16" s="77">
        <v>0</v>
      </c>
      <c r="AN16" s="77">
        <v>0</v>
      </c>
      <c r="AO16" s="77">
        <v>0</v>
      </c>
      <c r="AP16" s="187">
        <v>0</v>
      </c>
      <c r="AQ16" s="77">
        <v>0</v>
      </c>
      <c r="AR16" s="664">
        <v>0</v>
      </c>
      <c r="AS16" s="664">
        <v>0</v>
      </c>
      <c r="AT16" s="187">
        <v>0</v>
      </c>
      <c r="AU16" s="77">
        <v>0</v>
      </c>
      <c r="AV16" s="664">
        <v>0</v>
      </c>
      <c r="AW16" s="664">
        <v>0</v>
      </c>
      <c r="AX16" s="765">
        <v>0</v>
      </c>
      <c r="AY16" s="190">
        <v>0</v>
      </c>
      <c r="AZ16" s="664">
        <v>0</v>
      </c>
      <c r="BA16" s="664">
        <v>0</v>
      </c>
      <c r="BB16" s="765">
        <v>0</v>
      </c>
      <c r="BC16" s="190">
        <v>0</v>
      </c>
      <c r="BD16" s="664"/>
      <c r="BE16" s="664"/>
      <c r="BF16" s="765"/>
      <c r="BN16" s="716"/>
    </row>
    <row r="17" spans="1:60" s="7" customFormat="1" ht="20.149999999999999" customHeight="1">
      <c r="A17" s="27" t="s">
        <v>146</v>
      </c>
      <c r="B17" s="108" t="s">
        <v>147</v>
      </c>
      <c r="C17" s="24"/>
      <c r="D17" s="24"/>
      <c r="E17" s="24"/>
      <c r="F17" s="187"/>
      <c r="G17" s="24"/>
      <c r="H17" s="24"/>
      <c r="I17" s="24"/>
      <c r="J17" s="187"/>
      <c r="K17" s="24"/>
      <c r="L17" s="24"/>
      <c r="M17" s="24"/>
      <c r="N17" s="187"/>
      <c r="O17" s="24"/>
      <c r="P17" s="24"/>
      <c r="Q17" s="24"/>
      <c r="R17" s="187"/>
      <c r="S17" s="77"/>
      <c r="T17" s="77"/>
      <c r="U17" s="77"/>
      <c r="V17" s="187"/>
      <c r="W17" s="77"/>
      <c r="X17" s="77"/>
      <c r="Y17" s="77"/>
      <c r="Z17" s="187"/>
      <c r="AA17" s="77"/>
      <c r="AB17" s="77"/>
      <c r="AC17" s="77"/>
      <c r="AD17" s="582">
        <v>616.9</v>
      </c>
      <c r="AE17" s="77"/>
      <c r="AF17" s="77"/>
      <c r="AG17" s="77"/>
      <c r="AH17" s="582">
        <v>776.5</v>
      </c>
      <c r="AI17" s="77">
        <v>749.5</v>
      </c>
      <c r="AJ17" s="77">
        <v>747.8</v>
      </c>
      <c r="AK17" s="77">
        <v>791.7</v>
      </c>
      <c r="AL17" s="582">
        <v>832</v>
      </c>
      <c r="AM17" s="77">
        <v>797.7</v>
      </c>
      <c r="AN17" s="77">
        <v>774</v>
      </c>
      <c r="AO17" s="77">
        <v>751.8</v>
      </c>
      <c r="AP17" s="183">
        <v>777.1</v>
      </c>
      <c r="AQ17" s="77">
        <v>748.7</v>
      </c>
      <c r="AR17" s="664">
        <v>775.8</v>
      </c>
      <c r="AS17" s="664">
        <v>839.8</v>
      </c>
      <c r="AT17" s="183">
        <v>930</v>
      </c>
      <c r="AU17" s="190">
        <v>931.1</v>
      </c>
      <c r="AV17" s="677">
        <v>979.3</v>
      </c>
      <c r="AW17" s="677">
        <v>964.2</v>
      </c>
      <c r="AX17" s="216">
        <v>968.1</v>
      </c>
      <c r="AY17" s="190">
        <v>925.7</v>
      </c>
      <c r="AZ17" s="677">
        <v>878.5</v>
      </c>
      <c r="BA17" s="677">
        <v>891.3</v>
      </c>
      <c r="BB17" s="216">
        <v>903.8</v>
      </c>
      <c r="BC17" s="190">
        <v>866.8</v>
      </c>
      <c r="BD17" s="677"/>
      <c r="BE17" s="677"/>
      <c r="BF17" s="216"/>
    </row>
    <row r="18" spans="1:60" ht="20.149999999999999" customHeight="1">
      <c r="A18" s="638" t="s">
        <v>148</v>
      </c>
      <c r="B18" s="108" t="s">
        <v>149</v>
      </c>
      <c r="C18" s="202"/>
      <c r="D18" s="202"/>
      <c r="E18" s="202"/>
      <c r="F18" s="201"/>
      <c r="G18" s="202"/>
      <c r="H18" s="202"/>
      <c r="I18" s="202"/>
      <c r="J18" s="201"/>
      <c r="K18" s="202"/>
      <c r="L18" s="202"/>
      <c r="M18" s="202"/>
      <c r="N18" s="201"/>
      <c r="O18" s="202"/>
      <c r="P18" s="202"/>
      <c r="Q18" s="202"/>
      <c r="R18" s="201"/>
      <c r="S18" s="190"/>
      <c r="T18" s="190"/>
      <c r="U18" s="190"/>
      <c r="V18" s="201"/>
      <c r="W18" s="190"/>
      <c r="X18" s="190"/>
      <c r="Y18" s="190"/>
      <c r="Z18" s="201"/>
      <c r="AA18" s="190"/>
      <c r="AB18" s="190"/>
      <c r="AC18" s="190"/>
      <c r="AD18" s="201"/>
      <c r="AE18" s="190"/>
      <c r="AF18" s="190"/>
      <c r="AG18" s="190"/>
      <c r="AH18" s="201"/>
      <c r="AI18" s="190"/>
      <c r="AJ18" s="190"/>
      <c r="AK18" s="190"/>
      <c r="AL18" s="694"/>
      <c r="AM18" s="190"/>
      <c r="AN18" s="190"/>
      <c r="AO18" s="190"/>
      <c r="AP18" s="216">
        <v>57.1</v>
      </c>
      <c r="AQ18" s="190"/>
      <c r="AR18" s="668"/>
      <c r="AS18" s="668"/>
      <c r="AT18" s="216">
        <v>325.60000000000002</v>
      </c>
      <c r="AU18" s="190">
        <v>576.29999999999995</v>
      </c>
      <c r="AV18" s="677">
        <v>758.5</v>
      </c>
      <c r="AW18" s="677">
        <v>117.6</v>
      </c>
      <c r="AX18" s="216">
        <v>10.9</v>
      </c>
      <c r="AY18" s="190">
        <v>11</v>
      </c>
      <c r="AZ18" s="677">
        <v>2.7</v>
      </c>
      <c r="BA18" s="677">
        <v>2.8</v>
      </c>
      <c r="BB18" s="216">
        <v>2.2000000000000002</v>
      </c>
      <c r="BC18" s="190">
        <v>2.4</v>
      </c>
      <c r="BD18" s="677"/>
      <c r="BE18" s="677"/>
      <c r="BF18" s="216"/>
    </row>
    <row r="19" spans="1:60" ht="20.149999999999999" customHeight="1">
      <c r="A19" s="638" t="s">
        <v>150</v>
      </c>
      <c r="B19" s="108" t="s">
        <v>151</v>
      </c>
      <c r="C19" s="205">
        <f>92.159</f>
        <v>92.159000000000006</v>
      </c>
      <c r="D19" s="211">
        <f>(84770)*0.001</f>
        <v>84.77</v>
      </c>
      <c r="E19" s="211">
        <f>(116704)*0.001</f>
        <v>116.70400000000001</v>
      </c>
      <c r="F19" s="216">
        <f>(109642)*0.001</f>
        <v>109.642</v>
      </c>
      <c r="G19" s="211">
        <f>(62960)*0.001</f>
        <v>62.96</v>
      </c>
      <c r="H19" s="211">
        <f>(61422)*0.001</f>
        <v>61.422000000000004</v>
      </c>
      <c r="I19" s="211">
        <f>(27107)*0.001</f>
        <v>27.106999999999999</v>
      </c>
      <c r="J19" s="216">
        <f>(20803)*0.001</f>
        <v>20.803000000000001</v>
      </c>
      <c r="K19" s="217">
        <f>(6430)*0.001</f>
        <v>6.43</v>
      </c>
      <c r="L19" s="695">
        <v>107.4</v>
      </c>
      <c r="M19" s="695">
        <v>141.4</v>
      </c>
      <c r="N19" s="216">
        <v>198.5</v>
      </c>
      <c r="O19" s="205">
        <v>238</v>
      </c>
      <c r="P19" s="205">
        <v>232.8</v>
      </c>
      <c r="Q19" s="695">
        <v>232.7</v>
      </c>
      <c r="R19" s="216">
        <v>272.8</v>
      </c>
      <c r="S19" s="190">
        <v>295.39999999999998</v>
      </c>
      <c r="T19" s="190">
        <v>331.8</v>
      </c>
      <c r="U19" s="190">
        <v>373.3</v>
      </c>
      <c r="V19" s="216">
        <v>452</v>
      </c>
      <c r="W19" s="190">
        <v>476.3</v>
      </c>
      <c r="X19" s="190">
        <v>508.1</v>
      </c>
      <c r="Y19" s="190">
        <v>544.20000000000005</v>
      </c>
      <c r="Z19" s="216">
        <v>1270.7</v>
      </c>
      <c r="AA19" s="190">
        <v>1280.5999999999999</v>
      </c>
      <c r="AB19" s="190">
        <v>649.29999999999995</v>
      </c>
      <c r="AC19" s="190">
        <v>647.9</v>
      </c>
      <c r="AD19" s="216">
        <v>84.2</v>
      </c>
      <c r="AE19" s="190">
        <v>714.5</v>
      </c>
      <c r="AF19" s="190">
        <v>781.6</v>
      </c>
      <c r="AG19" s="190">
        <v>830.6</v>
      </c>
      <c r="AH19" s="216">
        <v>1315.8</v>
      </c>
      <c r="AI19" s="190">
        <v>1337.2</v>
      </c>
      <c r="AJ19" s="190">
        <v>1314.7</v>
      </c>
      <c r="AK19" s="190">
        <v>1329.2</v>
      </c>
      <c r="AL19" s="216">
        <v>1283.5999999999999</v>
      </c>
      <c r="AM19" s="190">
        <v>1330.6</v>
      </c>
      <c r="AN19" s="190">
        <v>1799.7</v>
      </c>
      <c r="AO19" s="190">
        <v>1820.5</v>
      </c>
      <c r="AP19" s="216">
        <v>1845.2</v>
      </c>
      <c r="AQ19" s="190">
        <v>2037.6</v>
      </c>
      <c r="AR19" s="668">
        <v>2659.2</v>
      </c>
      <c r="AS19" s="668">
        <v>2285.3000000000002</v>
      </c>
      <c r="AT19" s="696">
        <v>1918</v>
      </c>
      <c r="AU19" s="190">
        <v>1933.7</v>
      </c>
      <c r="AV19" s="678">
        <v>2028.6</v>
      </c>
      <c r="AW19" s="678">
        <v>746.3</v>
      </c>
      <c r="AX19" s="696">
        <v>702.8</v>
      </c>
      <c r="AY19" s="190">
        <v>741.7</v>
      </c>
      <c r="AZ19" s="678">
        <v>790.2</v>
      </c>
      <c r="BA19" s="678">
        <v>804.7</v>
      </c>
      <c r="BB19" s="696">
        <v>83.6</v>
      </c>
      <c r="BC19" s="190">
        <v>78.5</v>
      </c>
      <c r="BD19" s="678"/>
      <c r="BE19" s="678"/>
      <c r="BF19" s="696"/>
    </row>
    <row r="20" spans="1:60" s="745" customFormat="1" ht="25.75">
      <c r="A20" s="697" t="s">
        <v>152</v>
      </c>
      <c r="B20" s="757" t="s">
        <v>153</v>
      </c>
      <c r="C20" s="60"/>
      <c r="D20" s="60"/>
      <c r="E20" s="60"/>
      <c r="F20" s="698"/>
      <c r="G20" s="60"/>
      <c r="H20" s="60"/>
      <c r="I20" s="60"/>
      <c r="J20" s="188"/>
      <c r="K20" s="60"/>
      <c r="L20" s="60"/>
      <c r="M20" s="60"/>
      <c r="N20" s="188"/>
      <c r="O20" s="60"/>
      <c r="P20" s="60"/>
      <c r="Q20" s="60"/>
      <c r="R20" s="188"/>
      <c r="S20" s="60"/>
      <c r="T20" s="60"/>
      <c r="U20" s="60"/>
      <c r="V20" s="777">
        <v>0</v>
      </c>
      <c r="W20" s="60"/>
      <c r="X20" s="60"/>
      <c r="Y20" s="60"/>
      <c r="Z20" s="698">
        <v>665.2</v>
      </c>
      <c r="AA20" s="173">
        <v>681.2</v>
      </c>
      <c r="AB20" s="173">
        <v>40.4</v>
      </c>
      <c r="AC20" s="173">
        <v>36.9</v>
      </c>
      <c r="AD20" s="698">
        <v>43</v>
      </c>
      <c r="AE20" s="173">
        <v>41.3</v>
      </c>
      <c r="AF20" s="60">
        <v>67.5</v>
      </c>
      <c r="AG20" s="173">
        <v>66.2</v>
      </c>
      <c r="AH20" s="698">
        <v>1282.4000000000001</v>
      </c>
      <c r="AI20" s="173">
        <v>1306.0999999999999</v>
      </c>
      <c r="AJ20" s="173">
        <v>1284.0999999999999</v>
      </c>
      <c r="AK20" s="173">
        <v>1298.2</v>
      </c>
      <c r="AL20" s="698">
        <v>1257.8</v>
      </c>
      <c r="AM20" s="173">
        <v>1274.3</v>
      </c>
      <c r="AN20" s="173">
        <v>1740.2</v>
      </c>
      <c r="AO20" s="173">
        <v>1752.6</v>
      </c>
      <c r="AP20" s="584">
        <v>1764.4</v>
      </c>
      <c r="AQ20" s="173">
        <v>1774.8</v>
      </c>
      <c r="AR20" s="665">
        <v>2232.6999999999998</v>
      </c>
      <c r="AS20" s="665">
        <v>1786.1</v>
      </c>
      <c r="AT20" s="699">
        <v>1884.2</v>
      </c>
      <c r="AU20" s="173">
        <v>1904.6</v>
      </c>
      <c r="AV20" s="728">
        <v>1821.8</v>
      </c>
      <c r="AW20" s="728">
        <v>80.5</v>
      </c>
      <c r="AX20" s="768">
        <v>10.1</v>
      </c>
      <c r="AY20" s="173">
        <v>10.1</v>
      </c>
      <c r="AZ20" s="683">
        <v>10.199999999999999</v>
      </c>
      <c r="BA20" s="728">
        <v>9.4</v>
      </c>
      <c r="BB20" s="768">
        <v>0</v>
      </c>
      <c r="BC20" s="173">
        <v>0</v>
      </c>
      <c r="BD20" s="683"/>
      <c r="BE20" s="728"/>
      <c r="BF20" s="768"/>
    </row>
    <row r="21" spans="1:60" s="745" customFormat="1" ht="25.75">
      <c r="A21" s="697" t="s">
        <v>801</v>
      </c>
      <c r="B21" s="757" t="s">
        <v>802</v>
      </c>
      <c r="C21" s="60"/>
      <c r="D21" s="60"/>
      <c r="E21" s="60"/>
      <c r="F21" s="698"/>
      <c r="G21" s="60"/>
      <c r="H21" s="60"/>
      <c r="I21" s="60"/>
      <c r="J21" s="188"/>
      <c r="K21" s="60"/>
      <c r="L21" s="60"/>
      <c r="M21" s="60"/>
      <c r="N21" s="188"/>
      <c r="O21" s="60"/>
      <c r="P21" s="60"/>
      <c r="Q21" s="60"/>
      <c r="R21" s="188"/>
      <c r="S21" s="60"/>
      <c r="T21" s="60"/>
      <c r="U21" s="60"/>
      <c r="V21" s="777"/>
      <c r="W21" s="60"/>
      <c r="X21" s="60"/>
      <c r="Y21" s="60"/>
      <c r="Z21" s="698"/>
      <c r="AA21" s="173"/>
      <c r="AB21" s="173"/>
      <c r="AC21" s="173"/>
      <c r="AD21" s="698"/>
      <c r="AE21" s="78">
        <v>0</v>
      </c>
      <c r="AF21" s="78">
        <v>0</v>
      </c>
      <c r="AG21" s="78">
        <v>0</v>
      </c>
      <c r="AH21" s="778">
        <v>0</v>
      </c>
      <c r="AI21" s="78">
        <v>0</v>
      </c>
      <c r="AJ21" s="78">
        <v>0</v>
      </c>
      <c r="AK21" s="78">
        <v>0</v>
      </c>
      <c r="AL21" s="778">
        <v>0</v>
      </c>
      <c r="AM21" s="78">
        <v>0</v>
      </c>
      <c r="AN21" s="78">
        <v>0</v>
      </c>
      <c r="AO21" s="78">
        <v>0</v>
      </c>
      <c r="AP21" s="778">
        <v>0</v>
      </c>
      <c r="AQ21" s="78">
        <v>0</v>
      </c>
      <c r="AR21" s="667">
        <v>0</v>
      </c>
      <c r="AS21" s="667">
        <v>0</v>
      </c>
      <c r="AT21" s="779">
        <v>1.6</v>
      </c>
      <c r="AU21" s="78">
        <v>0</v>
      </c>
      <c r="AV21" s="667">
        <v>0</v>
      </c>
      <c r="AW21" s="728">
        <v>604.20000000000005</v>
      </c>
      <c r="AX21" s="768">
        <v>615.9</v>
      </c>
      <c r="AY21" s="173">
        <v>652.9</v>
      </c>
      <c r="AZ21" s="683">
        <v>678.4</v>
      </c>
      <c r="BA21" s="683">
        <v>735.9</v>
      </c>
      <c r="BB21" s="768">
        <v>5.5</v>
      </c>
      <c r="BC21" s="173">
        <v>5.6</v>
      </c>
      <c r="BD21" s="683"/>
      <c r="BE21" s="683"/>
      <c r="BF21" s="768"/>
    </row>
    <row r="22" spans="1:60" s="15" customFormat="1" ht="20.149999999999999" customHeight="1">
      <c r="A22" s="29" t="s">
        <v>154</v>
      </c>
      <c r="B22" s="109" t="s">
        <v>155</v>
      </c>
      <c r="C22" s="23">
        <v>0</v>
      </c>
      <c r="D22" s="23">
        <v>0</v>
      </c>
      <c r="E22" s="23">
        <v>0</v>
      </c>
      <c r="F22" s="439"/>
      <c r="G22" s="23">
        <v>0</v>
      </c>
      <c r="H22" s="23">
        <v>0</v>
      </c>
      <c r="I22" s="23">
        <v>0</v>
      </c>
      <c r="J22" s="189">
        <v>0</v>
      </c>
      <c r="K22" s="32">
        <v>0</v>
      </c>
      <c r="L22" s="23">
        <v>0</v>
      </c>
      <c r="M22" s="23">
        <v>0</v>
      </c>
      <c r="N22" s="189">
        <v>1.2</v>
      </c>
      <c r="O22" s="23">
        <v>0</v>
      </c>
      <c r="P22" s="23">
        <v>0</v>
      </c>
      <c r="Q22" s="23">
        <v>0</v>
      </c>
      <c r="R22" s="189">
        <v>6.9</v>
      </c>
      <c r="S22" s="78">
        <v>0.6</v>
      </c>
      <c r="T22" s="78">
        <v>0</v>
      </c>
      <c r="U22" s="78">
        <v>3.5</v>
      </c>
      <c r="V22" s="439">
        <v>9.5</v>
      </c>
      <c r="W22" s="78">
        <v>7.8</v>
      </c>
      <c r="X22" s="78">
        <v>4.9000000000000004</v>
      </c>
      <c r="Y22" s="78">
        <v>2.5</v>
      </c>
      <c r="Z22" s="439">
        <v>1.9</v>
      </c>
      <c r="AA22" s="78">
        <v>0.1</v>
      </c>
      <c r="AB22" s="78">
        <v>1.4</v>
      </c>
      <c r="AC22" s="78">
        <v>2.7</v>
      </c>
      <c r="AD22" s="448">
        <v>0</v>
      </c>
      <c r="AE22" s="78">
        <v>0</v>
      </c>
      <c r="AF22" s="78">
        <v>0</v>
      </c>
      <c r="AG22" s="78">
        <v>0.2</v>
      </c>
      <c r="AH22" s="439">
        <v>1.2</v>
      </c>
      <c r="AI22" s="78">
        <v>0</v>
      </c>
      <c r="AJ22" s="78">
        <v>0</v>
      </c>
      <c r="AK22" s="78">
        <v>0</v>
      </c>
      <c r="AL22" s="439">
        <v>0.4</v>
      </c>
      <c r="AM22" s="78">
        <v>2.9</v>
      </c>
      <c r="AN22" s="173">
        <v>4</v>
      </c>
      <c r="AO22" s="78">
        <v>6.5</v>
      </c>
      <c r="AP22" s="583">
        <v>23</v>
      </c>
      <c r="AQ22" s="173">
        <v>23</v>
      </c>
      <c r="AR22" s="665">
        <v>36.9</v>
      </c>
      <c r="AS22" s="665">
        <v>34.4</v>
      </c>
      <c r="AT22" s="692">
        <v>17.399999999999999</v>
      </c>
      <c r="AU22" s="173">
        <v>10.1</v>
      </c>
      <c r="AV22" s="683">
        <v>158.80000000000001</v>
      </c>
      <c r="AW22" s="683">
        <v>8.9</v>
      </c>
      <c r="AX22" s="768">
        <v>35.200000000000003</v>
      </c>
      <c r="AY22" s="173">
        <v>22.2</v>
      </c>
      <c r="AZ22" s="683">
        <v>42.1</v>
      </c>
      <c r="BA22" s="683">
        <v>22.9</v>
      </c>
      <c r="BB22" s="768">
        <v>40.200000000000003</v>
      </c>
      <c r="BC22" s="173">
        <v>29.5</v>
      </c>
      <c r="BD22" s="683"/>
      <c r="BE22" s="683"/>
      <c r="BF22" s="768"/>
    </row>
    <row r="23" spans="1:60" s="7" customFormat="1" ht="20.149999999999999" customHeight="1" thickBot="1">
      <c r="A23" s="27" t="s">
        <v>156</v>
      </c>
      <c r="B23" s="105" t="s">
        <v>157</v>
      </c>
      <c r="C23" s="17">
        <f>30.5</f>
        <v>30.5</v>
      </c>
      <c r="D23" s="30">
        <f>(40245)*0.001</f>
        <v>40.244999999999997</v>
      </c>
      <c r="E23" s="30">
        <f>(37018)*0.001</f>
        <v>37.018000000000001</v>
      </c>
      <c r="F23" s="183">
        <f>(31356)*0.001</f>
        <v>31.356000000000002</v>
      </c>
      <c r="G23" s="30">
        <f>(30260)*0.001</f>
        <v>30.26</v>
      </c>
      <c r="H23" s="30">
        <f>(27326)*0.001</f>
        <v>27.326000000000001</v>
      </c>
      <c r="I23" s="30">
        <f>(27552)*0.001</f>
        <v>27.552</v>
      </c>
      <c r="J23" s="183">
        <f>(38854)*0.001</f>
        <v>38.853999999999999</v>
      </c>
      <c r="K23" s="40">
        <f>(34685)*0.001</f>
        <v>34.685000000000002</v>
      </c>
      <c r="L23" s="21">
        <v>240.5</v>
      </c>
      <c r="M23" s="21">
        <v>285.7</v>
      </c>
      <c r="N23" s="183">
        <v>281.10000000000002</v>
      </c>
      <c r="O23" s="17">
        <v>229</v>
      </c>
      <c r="P23" s="17">
        <v>260.89999999999998</v>
      </c>
      <c r="Q23" s="21">
        <v>107.2</v>
      </c>
      <c r="R23" s="183">
        <v>87.6</v>
      </c>
      <c r="S23" s="77">
        <v>211.3</v>
      </c>
      <c r="T23" s="77">
        <v>236.5</v>
      </c>
      <c r="U23" s="77">
        <v>238.4</v>
      </c>
      <c r="V23" s="183">
        <v>232.7</v>
      </c>
      <c r="W23" s="77">
        <v>249.3</v>
      </c>
      <c r="X23" s="77">
        <v>199.9</v>
      </c>
      <c r="Y23" s="77">
        <v>192.1</v>
      </c>
      <c r="Z23" s="183">
        <v>197.2</v>
      </c>
      <c r="AA23" s="77">
        <v>178.4</v>
      </c>
      <c r="AB23" s="77">
        <v>216</v>
      </c>
      <c r="AC23" s="77">
        <v>213</v>
      </c>
      <c r="AD23" s="183">
        <v>259.7</v>
      </c>
      <c r="AE23" s="77">
        <v>258.2</v>
      </c>
      <c r="AF23" s="77">
        <v>260.5</v>
      </c>
      <c r="AG23" s="77">
        <v>267.3</v>
      </c>
      <c r="AH23" s="183">
        <v>241.2</v>
      </c>
      <c r="AI23" s="77">
        <v>243.2</v>
      </c>
      <c r="AJ23" s="77">
        <v>260.7</v>
      </c>
      <c r="AK23" s="77">
        <v>242.5</v>
      </c>
      <c r="AL23" s="183">
        <v>223.2</v>
      </c>
      <c r="AM23" s="77">
        <v>158.6</v>
      </c>
      <c r="AN23" s="77">
        <v>106.6</v>
      </c>
      <c r="AO23" s="77">
        <v>119.2</v>
      </c>
      <c r="AP23" s="183">
        <v>80.2</v>
      </c>
      <c r="AQ23" s="190">
        <v>87.6</v>
      </c>
      <c r="AR23" s="664">
        <v>104.2</v>
      </c>
      <c r="AS23" s="664">
        <v>112.1</v>
      </c>
      <c r="AT23" s="691">
        <v>99.9</v>
      </c>
      <c r="AU23" s="190">
        <v>110.5</v>
      </c>
      <c r="AV23" s="729">
        <v>108.8</v>
      </c>
      <c r="AW23" s="729">
        <v>151.9</v>
      </c>
      <c r="AX23" s="696">
        <v>142.80000000000001</v>
      </c>
      <c r="AY23" s="190">
        <v>157.4</v>
      </c>
      <c r="AZ23" s="729">
        <v>158.19999999999999</v>
      </c>
      <c r="BA23" s="729">
        <v>170.5</v>
      </c>
      <c r="BB23" s="696">
        <v>180.5</v>
      </c>
      <c r="BC23" s="190">
        <v>184.5</v>
      </c>
      <c r="BD23" s="729"/>
      <c r="BE23" s="729"/>
      <c r="BF23" s="696"/>
    </row>
    <row r="24" spans="1:60" s="199" customFormat="1" ht="25.2" customHeight="1" thickBot="1">
      <c r="A24" s="373" t="s">
        <v>158</v>
      </c>
      <c r="B24" s="373" t="s">
        <v>159</v>
      </c>
      <c r="C24" s="374">
        <f t="shared" ref="C24:K24" si="0">(SUM(C6:C23))</f>
        <v>4228.9560000000001</v>
      </c>
      <c r="D24" s="375">
        <f t="shared" si="0"/>
        <v>4425.1450000000004</v>
      </c>
      <c r="E24" s="375">
        <f t="shared" si="0"/>
        <v>4456.701</v>
      </c>
      <c r="F24" s="376">
        <f t="shared" si="0"/>
        <v>4476.1480000000001</v>
      </c>
      <c r="G24" s="375">
        <f t="shared" si="0"/>
        <v>4424.8490000000011</v>
      </c>
      <c r="H24" s="375">
        <f t="shared" si="0"/>
        <v>4428.5439999999999</v>
      </c>
      <c r="I24" s="375">
        <f t="shared" si="0"/>
        <v>4436.0960000000005</v>
      </c>
      <c r="J24" s="376">
        <f t="shared" si="0"/>
        <v>4455.8450000000003</v>
      </c>
      <c r="K24" s="374">
        <f t="shared" si="0"/>
        <v>4454.3520000000008</v>
      </c>
      <c r="L24" s="375">
        <f>SUM(L6:L23)</f>
        <v>23391.8</v>
      </c>
      <c r="M24" s="375">
        <f>SUM(M6:M23)</f>
        <v>23581.399999999998</v>
      </c>
      <c r="N24" s="376">
        <f t="shared" ref="N24:Y24" si="1">(SUM(N6:N23))-N22</f>
        <v>23356.1</v>
      </c>
      <c r="O24" s="374">
        <f t="shared" si="1"/>
        <v>23132</v>
      </c>
      <c r="P24" s="375">
        <f t="shared" si="1"/>
        <v>22867.599999999999</v>
      </c>
      <c r="Q24" s="375">
        <f t="shared" si="1"/>
        <v>22396.3</v>
      </c>
      <c r="R24" s="376">
        <f t="shared" si="1"/>
        <v>22261.199999999997</v>
      </c>
      <c r="S24" s="374">
        <f t="shared" si="1"/>
        <v>24489.499999999996</v>
      </c>
      <c r="T24" s="375">
        <f t="shared" si="1"/>
        <v>24377.8</v>
      </c>
      <c r="U24" s="375">
        <f t="shared" si="1"/>
        <v>24047.600000000002</v>
      </c>
      <c r="V24" s="376">
        <f t="shared" si="1"/>
        <v>23958.899999999998</v>
      </c>
      <c r="W24" s="374">
        <f t="shared" si="1"/>
        <v>23642.099999999995</v>
      </c>
      <c r="X24" s="375">
        <f t="shared" si="1"/>
        <v>23454.6</v>
      </c>
      <c r="Y24" s="375">
        <f t="shared" si="1"/>
        <v>23215.999999999996</v>
      </c>
      <c r="Z24" s="376">
        <f>(SUM(Z6:Z23))-Z22-Z20</f>
        <v>23824.5</v>
      </c>
      <c r="AA24" s="374">
        <f>SUM(AA6:AA19,AA23)</f>
        <v>23530.6</v>
      </c>
      <c r="AB24" s="375">
        <f>SUM(AB6:AB19,AB23)</f>
        <v>24924.399999999998</v>
      </c>
      <c r="AC24" s="375">
        <f>SUM(AC6:AC19,AC23)</f>
        <v>25095.3</v>
      </c>
      <c r="AD24" s="376">
        <f>(SUM(AD6:AD23))-AD22-AD20</f>
        <v>25274.100000000002</v>
      </c>
      <c r="AE24" s="374">
        <f>SUM(AE6:AE19,AE23)</f>
        <v>26511.500000000004</v>
      </c>
      <c r="AF24" s="375">
        <f>SUM(AF6:AF19,AF23)</f>
        <v>26473.100000000002</v>
      </c>
      <c r="AG24" s="375">
        <f>SUM(AG6:AG19,AG23)</f>
        <v>26264.3</v>
      </c>
      <c r="AH24" s="376">
        <f>(SUM(AH6:AH23))-AH22-AH20</f>
        <v>27604.7</v>
      </c>
      <c r="AI24" s="374">
        <f>SUM(AI6:AI19,AI23)</f>
        <v>27318.900000000005</v>
      </c>
      <c r="AJ24" s="375">
        <f>SUM(AJ6:AJ19,AJ23)</f>
        <v>27109.599999999995</v>
      </c>
      <c r="AK24" s="375">
        <f>SUM(AK6:AK19,AK23)</f>
        <v>27531.8</v>
      </c>
      <c r="AL24" s="376">
        <f>(SUM(AL6:AL23))-AL22-AL20</f>
        <v>27837.800000000003</v>
      </c>
      <c r="AM24" s="374">
        <f>SUM(AM6:AM19,AM23)</f>
        <v>24265.799999999996</v>
      </c>
      <c r="AN24" s="375">
        <f>SUM(AN6:AN19,AN23)</f>
        <v>23560.399999999994</v>
      </c>
      <c r="AO24" s="375">
        <f>SUM(AO6:AO19,AO23)</f>
        <v>23929.499999999996</v>
      </c>
      <c r="AP24" s="376">
        <f>(SUM(AP6:AP23))-AP22-AP20</f>
        <v>24159.7</v>
      </c>
      <c r="AQ24" s="374">
        <f t="shared" ref="AQ24:BB24" si="2">SUM(AQ6:AQ19,AQ23)</f>
        <v>23871.599999999999</v>
      </c>
      <c r="AR24" s="666">
        <f t="shared" si="2"/>
        <v>25679.300000000003</v>
      </c>
      <c r="AS24" s="375">
        <f t="shared" si="2"/>
        <v>24938.499999999993</v>
      </c>
      <c r="AT24" s="375">
        <f t="shared" si="2"/>
        <v>25775.3</v>
      </c>
      <c r="AU24" s="374">
        <f t="shared" si="2"/>
        <v>25716.600000000002</v>
      </c>
      <c r="AV24" s="666">
        <f t="shared" si="2"/>
        <v>25712.899999999998</v>
      </c>
      <c r="AW24" s="375">
        <f t="shared" si="2"/>
        <v>26583.600000000002</v>
      </c>
      <c r="AX24" s="376">
        <f t="shared" si="2"/>
        <v>28149.199999999997</v>
      </c>
      <c r="AY24" s="374">
        <f t="shared" si="2"/>
        <v>28081.600000000002</v>
      </c>
      <c r="AZ24" s="666">
        <f t="shared" si="2"/>
        <v>28047.200000000008</v>
      </c>
      <c r="BA24" s="666">
        <f t="shared" si="2"/>
        <v>28428.100000000002</v>
      </c>
      <c r="BB24" s="376">
        <f t="shared" si="2"/>
        <v>28441.099999999995</v>
      </c>
      <c r="BC24" s="374">
        <f t="shared" ref="BC24" si="3">SUM(BC6:BC19,BC23)</f>
        <v>28521.500000000004</v>
      </c>
      <c r="BD24" s="666"/>
      <c r="BE24" s="666"/>
      <c r="BF24" s="376"/>
      <c r="BG24" s="776"/>
      <c r="BH24" s="776"/>
    </row>
    <row r="25" spans="1:60" s="8" customFormat="1" ht="20.149999999999999" customHeight="1">
      <c r="A25" s="27" t="s">
        <v>160</v>
      </c>
      <c r="B25" s="105" t="s">
        <v>161</v>
      </c>
      <c r="C25" s="17">
        <f>176.114</f>
        <v>176.114</v>
      </c>
      <c r="D25" s="30">
        <f>(167251)*0.001</f>
        <v>167.251</v>
      </c>
      <c r="E25" s="30">
        <f>(171461)*0.001</f>
        <v>171.46100000000001</v>
      </c>
      <c r="F25" s="183">
        <f>(141652)*0.001</f>
        <v>141.65200000000002</v>
      </c>
      <c r="G25" s="30">
        <f>(155399)*0.001</f>
        <v>155.399</v>
      </c>
      <c r="H25" s="30">
        <f>(170743)*0.001</f>
        <v>170.74299999999999</v>
      </c>
      <c r="I25" s="30">
        <f>(208533)*0.001</f>
        <v>208.53300000000002</v>
      </c>
      <c r="J25" s="183">
        <f>(181341)*0.001</f>
        <v>181.34100000000001</v>
      </c>
      <c r="K25" s="40">
        <f>(228936)*0.001</f>
        <v>228.93600000000001</v>
      </c>
      <c r="L25" s="21">
        <v>199.1</v>
      </c>
      <c r="M25" s="21">
        <v>172.6</v>
      </c>
      <c r="N25" s="183">
        <v>152.1</v>
      </c>
      <c r="O25" s="17">
        <v>163.1</v>
      </c>
      <c r="P25" s="17">
        <v>170.4</v>
      </c>
      <c r="Q25" s="21">
        <v>255.6</v>
      </c>
      <c r="R25" s="183">
        <v>192.2</v>
      </c>
      <c r="S25" s="77">
        <v>234.7</v>
      </c>
      <c r="T25" s="77">
        <v>163.5</v>
      </c>
      <c r="U25" s="77">
        <v>219.1</v>
      </c>
      <c r="V25" s="183">
        <v>192</v>
      </c>
      <c r="W25" s="77">
        <v>179.8</v>
      </c>
      <c r="X25" s="77">
        <v>214.3</v>
      </c>
      <c r="Y25" s="77">
        <v>243.6</v>
      </c>
      <c r="Z25" s="183">
        <v>251.7</v>
      </c>
      <c r="AA25" s="77">
        <v>256.60000000000002</v>
      </c>
      <c r="AB25" s="77">
        <v>353.2</v>
      </c>
      <c r="AC25" s="77">
        <v>544.5</v>
      </c>
      <c r="AD25" s="183">
        <v>543.20000000000005</v>
      </c>
      <c r="AE25" s="77">
        <v>539.79999999999995</v>
      </c>
      <c r="AF25" s="77">
        <v>538.9</v>
      </c>
      <c r="AG25" s="77">
        <v>552.6</v>
      </c>
      <c r="AH25" s="183">
        <v>512.29999999999995</v>
      </c>
      <c r="AI25" s="77">
        <v>535.20000000000005</v>
      </c>
      <c r="AJ25" s="77">
        <v>516.20000000000005</v>
      </c>
      <c r="AK25" s="77">
        <v>525.9</v>
      </c>
      <c r="AL25" s="183">
        <v>413.2</v>
      </c>
      <c r="AM25" s="77">
        <v>412.7</v>
      </c>
      <c r="AN25" s="77">
        <v>477</v>
      </c>
      <c r="AO25" s="77">
        <v>925.1</v>
      </c>
      <c r="AP25" s="183">
        <v>630.6</v>
      </c>
      <c r="AQ25" s="77">
        <v>826.8</v>
      </c>
      <c r="AR25" s="664">
        <v>678.2</v>
      </c>
      <c r="AS25" s="677">
        <v>829.1</v>
      </c>
      <c r="AT25" s="183">
        <v>699.2</v>
      </c>
      <c r="AU25" s="77">
        <v>769.8</v>
      </c>
      <c r="AV25" s="677">
        <v>722.8</v>
      </c>
      <c r="AW25" s="677">
        <v>752.1</v>
      </c>
      <c r="AX25" s="216">
        <v>678.2</v>
      </c>
      <c r="AY25" s="77">
        <v>674.5</v>
      </c>
      <c r="AZ25" s="677">
        <v>634.1</v>
      </c>
      <c r="BA25" s="677">
        <v>833.9</v>
      </c>
      <c r="BB25" s="216">
        <v>641</v>
      </c>
      <c r="BC25" s="77">
        <v>769.6</v>
      </c>
      <c r="BD25" s="677"/>
      <c r="BE25" s="677"/>
      <c r="BF25" s="216"/>
      <c r="BG25" s="801"/>
    </row>
    <row r="26" spans="1:60" s="8" customFormat="1" ht="20.149999999999999" customHeight="1">
      <c r="A26" s="27" t="s">
        <v>162</v>
      </c>
      <c r="B26" s="105" t="s">
        <v>163</v>
      </c>
      <c r="C26" s="17"/>
      <c r="D26" s="30"/>
      <c r="E26" s="30"/>
      <c r="F26" s="183"/>
      <c r="G26" s="30"/>
      <c r="H26" s="30"/>
      <c r="I26" s="30"/>
      <c r="J26" s="183"/>
      <c r="K26" s="40"/>
      <c r="L26" s="21"/>
      <c r="M26" s="21"/>
      <c r="N26" s="183"/>
      <c r="O26" s="17"/>
      <c r="P26" s="17"/>
      <c r="Q26" s="21"/>
      <c r="R26" s="183"/>
      <c r="S26" s="77"/>
      <c r="T26" s="77"/>
      <c r="U26" s="77"/>
      <c r="V26" s="183"/>
      <c r="W26" s="77"/>
      <c r="X26" s="77"/>
      <c r="Y26" s="77"/>
      <c r="Z26" s="183"/>
      <c r="AA26" s="77">
        <v>680.8</v>
      </c>
      <c r="AB26" s="77">
        <v>681.5</v>
      </c>
      <c r="AC26" s="77">
        <v>655.20000000000005</v>
      </c>
      <c r="AD26" s="183">
        <v>648.4</v>
      </c>
      <c r="AE26" s="77">
        <v>657.6</v>
      </c>
      <c r="AF26" s="77">
        <v>651.70000000000005</v>
      </c>
      <c r="AG26" s="77">
        <v>639.20000000000005</v>
      </c>
      <c r="AH26" s="183">
        <v>638.70000000000005</v>
      </c>
      <c r="AI26" s="77">
        <v>628.1</v>
      </c>
      <c r="AJ26" s="77">
        <v>592.5</v>
      </c>
      <c r="AK26" s="77">
        <v>567.5</v>
      </c>
      <c r="AL26" s="183">
        <v>537.70000000000005</v>
      </c>
      <c r="AM26" s="77">
        <v>505.6</v>
      </c>
      <c r="AN26" s="77">
        <v>476.2</v>
      </c>
      <c r="AO26" s="77">
        <v>438.7</v>
      </c>
      <c r="AP26" s="183">
        <v>418</v>
      </c>
      <c r="AQ26" s="77">
        <v>393.8</v>
      </c>
      <c r="AR26" s="664">
        <v>374.1</v>
      </c>
      <c r="AS26" s="677">
        <v>361.5</v>
      </c>
      <c r="AT26" s="183">
        <v>362.9</v>
      </c>
      <c r="AU26" s="77">
        <v>377.5</v>
      </c>
      <c r="AV26" s="677">
        <v>375.3</v>
      </c>
      <c r="AW26" s="677">
        <v>352.2</v>
      </c>
      <c r="AX26" s="216">
        <v>349</v>
      </c>
      <c r="AY26" s="77">
        <v>340.8</v>
      </c>
      <c r="AZ26" s="677">
        <v>336.6</v>
      </c>
      <c r="BA26" s="677">
        <v>337.7</v>
      </c>
      <c r="BB26" s="216">
        <v>342</v>
      </c>
      <c r="BC26" s="77">
        <v>338.5</v>
      </c>
      <c r="BD26" s="677"/>
      <c r="BE26" s="677"/>
      <c r="BF26" s="216"/>
      <c r="BG26" s="801"/>
    </row>
    <row r="27" spans="1:60" s="7" customFormat="1" ht="20.149999999999999" customHeight="1">
      <c r="A27" s="27" t="s">
        <v>164</v>
      </c>
      <c r="B27" s="105" t="s">
        <v>165</v>
      </c>
      <c r="C27" s="17">
        <f>185.376</f>
        <v>185.376</v>
      </c>
      <c r="D27" s="30">
        <f>(185528)*0.001</f>
        <v>185.52799999999999</v>
      </c>
      <c r="E27" s="30">
        <f>(177054)*0.001</f>
        <v>177.054</v>
      </c>
      <c r="F27" s="183">
        <f>(161974)*0.001</f>
        <v>161.97399999999999</v>
      </c>
      <c r="G27" s="30">
        <f>(150701)*0.001</f>
        <v>150.70099999999999</v>
      </c>
      <c r="H27" s="30">
        <f>(157445)*0.001</f>
        <v>157.44499999999999</v>
      </c>
      <c r="I27" s="30">
        <f>(155698)*0.001</f>
        <v>155.69800000000001</v>
      </c>
      <c r="J27" s="183">
        <f>(146771)*0.001</f>
        <v>146.77100000000002</v>
      </c>
      <c r="K27" s="40">
        <f>(163072)*0.001</f>
        <v>163.072</v>
      </c>
      <c r="L27" s="16">
        <v>343.8</v>
      </c>
      <c r="M27" s="16">
        <v>316.60000000000002</v>
      </c>
      <c r="N27" s="183">
        <v>301.39999999999998</v>
      </c>
      <c r="O27" s="17">
        <v>252.9</v>
      </c>
      <c r="P27" s="17">
        <v>261.7</v>
      </c>
      <c r="Q27" s="16">
        <v>264.10000000000002</v>
      </c>
      <c r="R27" s="183">
        <v>281</v>
      </c>
      <c r="S27" s="77">
        <v>260.2</v>
      </c>
      <c r="T27" s="77">
        <v>270</v>
      </c>
      <c r="U27" s="77">
        <v>281</v>
      </c>
      <c r="V27" s="183">
        <v>278.7</v>
      </c>
      <c r="W27" s="77">
        <v>237.2</v>
      </c>
      <c r="X27" s="77">
        <v>279</v>
      </c>
      <c r="Y27" s="77">
        <v>295.60000000000002</v>
      </c>
      <c r="Z27" s="183">
        <v>283.7</v>
      </c>
      <c r="AA27" s="76">
        <v>305.3</v>
      </c>
      <c r="AB27" s="77">
        <v>362.1</v>
      </c>
      <c r="AC27" s="77">
        <v>387.6</v>
      </c>
      <c r="AD27" s="183">
        <v>394</v>
      </c>
      <c r="AE27" s="76">
        <v>333.7</v>
      </c>
      <c r="AF27" s="77">
        <v>344.5</v>
      </c>
      <c r="AG27" s="77">
        <v>359.6</v>
      </c>
      <c r="AH27" s="183">
        <v>306.8</v>
      </c>
      <c r="AI27" s="76">
        <v>398.3</v>
      </c>
      <c r="AJ27" s="77">
        <v>502.8</v>
      </c>
      <c r="AK27" s="77">
        <v>409</v>
      </c>
      <c r="AL27" s="183">
        <v>299.39999999999998</v>
      </c>
      <c r="AM27" s="76">
        <v>359.8</v>
      </c>
      <c r="AN27" s="76">
        <v>439.1</v>
      </c>
      <c r="AO27" s="77">
        <v>515</v>
      </c>
      <c r="AP27" s="183">
        <v>595.70000000000005</v>
      </c>
      <c r="AQ27" s="76">
        <v>597.5</v>
      </c>
      <c r="AR27" s="76">
        <v>935.5</v>
      </c>
      <c r="AS27" s="677">
        <v>888.7</v>
      </c>
      <c r="AT27" s="183">
        <v>1162.4000000000001</v>
      </c>
      <c r="AU27" s="76">
        <v>1272.2</v>
      </c>
      <c r="AV27" s="678">
        <v>1269.8</v>
      </c>
      <c r="AW27" s="678">
        <v>1341</v>
      </c>
      <c r="AX27" s="216">
        <v>1215.5999999999999</v>
      </c>
      <c r="AY27" s="76">
        <v>1229.3</v>
      </c>
      <c r="AZ27" s="678">
        <v>1205.9000000000001</v>
      </c>
      <c r="BA27" s="678">
        <v>1106.0999999999999</v>
      </c>
      <c r="BB27" s="216">
        <v>1028</v>
      </c>
      <c r="BC27" s="76">
        <v>1041.2</v>
      </c>
      <c r="BD27" s="678"/>
      <c r="BE27" s="678"/>
      <c r="BF27" s="216"/>
    </row>
    <row r="28" spans="1:60" ht="20.149999999999999" customHeight="1">
      <c r="A28" s="638" t="s">
        <v>166</v>
      </c>
      <c r="B28" s="108" t="s">
        <v>167</v>
      </c>
      <c r="C28" s="205">
        <f>342.386</f>
        <v>342.38600000000002</v>
      </c>
      <c r="D28" s="211">
        <f>(382365)*0.001</f>
        <v>382.36500000000001</v>
      </c>
      <c r="E28" s="211">
        <f>(376949)*0.001</f>
        <v>376.94900000000001</v>
      </c>
      <c r="F28" s="216">
        <f>(375659)*0.001</f>
        <v>375.65899999999999</v>
      </c>
      <c r="G28" s="211">
        <f>(403593)*0.001</f>
        <v>403.59300000000002</v>
      </c>
      <c r="H28" s="211">
        <f>(410902)*0.001</f>
        <v>410.90199999999999</v>
      </c>
      <c r="I28" s="211">
        <f>(401503)*0.001</f>
        <v>401.50299999999999</v>
      </c>
      <c r="J28" s="216">
        <f>(374424)*0.001</f>
        <v>374.42400000000004</v>
      </c>
      <c r="K28" s="217">
        <f>(398589)*0.001</f>
        <v>398.589</v>
      </c>
      <c r="L28" s="208">
        <v>1374.4</v>
      </c>
      <c r="M28" s="208">
        <v>1369.9</v>
      </c>
      <c r="N28" s="216">
        <v>1453.4</v>
      </c>
      <c r="O28" s="205">
        <v>1599.5</v>
      </c>
      <c r="P28" s="205">
        <v>1988.6</v>
      </c>
      <c r="Q28" s="208">
        <v>1699.4</v>
      </c>
      <c r="R28" s="216">
        <v>1619.1</v>
      </c>
      <c r="S28" s="190">
        <v>1503.9</v>
      </c>
      <c r="T28" s="190">
        <v>1541.1</v>
      </c>
      <c r="U28" s="190">
        <v>1571.8</v>
      </c>
      <c r="V28" s="216">
        <v>1688</v>
      </c>
      <c r="W28" s="190">
        <v>1608.5</v>
      </c>
      <c r="X28" s="190">
        <v>1727</v>
      </c>
      <c r="Y28" s="190">
        <v>1758.5</v>
      </c>
      <c r="Z28" s="216">
        <v>1983.2</v>
      </c>
      <c r="AA28" s="190">
        <v>1990.7</v>
      </c>
      <c r="AB28" s="190">
        <v>2161.3000000000002</v>
      </c>
      <c r="AC28" s="190">
        <v>2197.3000000000002</v>
      </c>
      <c r="AD28" s="216">
        <v>2370.4</v>
      </c>
      <c r="AE28" s="190">
        <v>2334.6999999999998</v>
      </c>
      <c r="AF28" s="190">
        <v>2284.4</v>
      </c>
      <c r="AG28" s="190">
        <v>2291.6</v>
      </c>
      <c r="AH28" s="216">
        <v>2511.6</v>
      </c>
      <c r="AI28" s="190">
        <v>2335.9</v>
      </c>
      <c r="AJ28" s="190">
        <v>2298.1</v>
      </c>
      <c r="AK28" s="190">
        <v>2348.1999999999998</v>
      </c>
      <c r="AL28" s="216">
        <v>2390.4</v>
      </c>
      <c r="AM28" s="190">
        <v>2387.4</v>
      </c>
      <c r="AN28" s="190">
        <v>2441.5</v>
      </c>
      <c r="AO28" s="190">
        <v>2413.9</v>
      </c>
      <c r="AP28" s="216">
        <v>2435</v>
      </c>
      <c r="AQ28" s="700">
        <v>2424.3000000000002</v>
      </c>
      <c r="AR28" s="700">
        <v>2623.1</v>
      </c>
      <c r="AS28" s="700">
        <v>2669.6</v>
      </c>
      <c r="AT28" s="216">
        <v>2751.3</v>
      </c>
      <c r="AU28" s="700">
        <v>2614.1999999999998</v>
      </c>
      <c r="AV28" s="678">
        <v>2565.5</v>
      </c>
      <c r="AW28" s="678">
        <v>3022.5</v>
      </c>
      <c r="AX28" s="216">
        <v>2947.1</v>
      </c>
      <c r="AY28" s="700">
        <v>2914.1</v>
      </c>
      <c r="AZ28" s="678">
        <v>3007</v>
      </c>
      <c r="BA28" s="678">
        <v>2910.3</v>
      </c>
      <c r="BB28" s="216">
        <v>3052.7</v>
      </c>
      <c r="BC28" s="700">
        <v>3072.7</v>
      </c>
      <c r="BD28" s="678"/>
      <c r="BE28" s="678"/>
      <c r="BF28" s="216"/>
    </row>
    <row r="29" spans="1:60" ht="20.149999999999999" customHeight="1">
      <c r="A29" s="638" t="s">
        <v>168</v>
      </c>
      <c r="B29" s="108" t="s">
        <v>169</v>
      </c>
      <c r="C29" s="205">
        <f>1.102</f>
        <v>1.1020000000000001</v>
      </c>
      <c r="D29" s="220">
        <f>0</f>
        <v>0</v>
      </c>
      <c r="E29" s="220">
        <f>0</f>
        <v>0</v>
      </c>
      <c r="F29" s="219">
        <f>0</f>
        <v>0</v>
      </c>
      <c r="G29" s="220">
        <f>0</f>
        <v>0</v>
      </c>
      <c r="H29" s="220">
        <f>0</f>
        <v>0</v>
      </c>
      <c r="I29" s="220">
        <f>0</f>
        <v>0</v>
      </c>
      <c r="J29" s="219">
        <v>0</v>
      </c>
      <c r="K29" s="221">
        <v>0</v>
      </c>
      <c r="L29" s="202">
        <v>0</v>
      </c>
      <c r="M29" s="202">
        <v>0</v>
      </c>
      <c r="N29" s="219" t="e">
        <f>0*($A$88)</f>
        <v>#VALUE!</v>
      </c>
      <c r="O29" s="220" t="e">
        <f>0*($A$88)</f>
        <v>#VALUE!</v>
      </c>
      <c r="P29" s="220">
        <v>0</v>
      </c>
      <c r="Q29" s="202">
        <v>0</v>
      </c>
      <c r="R29" s="219">
        <v>0</v>
      </c>
      <c r="S29" s="701">
        <v>0</v>
      </c>
      <c r="T29" s="701">
        <v>0</v>
      </c>
      <c r="U29" s="701">
        <v>0</v>
      </c>
      <c r="V29" s="219">
        <v>0</v>
      </c>
      <c r="W29" s="701">
        <v>0</v>
      </c>
      <c r="X29" s="701">
        <v>0</v>
      </c>
      <c r="Y29" s="701">
        <v>0</v>
      </c>
      <c r="Z29" s="219">
        <v>0</v>
      </c>
      <c r="AA29" s="190">
        <v>0</v>
      </c>
      <c r="AB29" s="702">
        <v>0</v>
      </c>
      <c r="AC29" s="190">
        <v>0</v>
      </c>
      <c r="AD29" s="219">
        <v>0</v>
      </c>
      <c r="AE29" s="190">
        <v>0</v>
      </c>
      <c r="AF29" s="701">
        <v>0</v>
      </c>
      <c r="AG29" s="190">
        <v>0</v>
      </c>
      <c r="AH29" s="219">
        <v>0</v>
      </c>
      <c r="AI29" s="190">
        <v>0</v>
      </c>
      <c r="AJ29" s="701">
        <v>0</v>
      </c>
      <c r="AK29" s="190">
        <v>0</v>
      </c>
      <c r="AL29" s="219">
        <v>0</v>
      </c>
      <c r="AM29" s="190">
        <v>0</v>
      </c>
      <c r="AN29" s="190">
        <v>0</v>
      </c>
      <c r="AO29" s="190">
        <v>0</v>
      </c>
      <c r="AP29" s="216">
        <v>15.3</v>
      </c>
      <c r="AQ29" s="703">
        <v>0</v>
      </c>
      <c r="AR29" s="704">
        <v>0</v>
      </c>
      <c r="AS29" s="704">
        <v>0</v>
      </c>
      <c r="AT29" s="216">
        <v>250.5</v>
      </c>
      <c r="AU29" s="700">
        <v>86.2</v>
      </c>
      <c r="AV29" s="677">
        <v>19.3</v>
      </c>
      <c r="AW29" s="677">
        <v>19.399999999999999</v>
      </c>
      <c r="AX29" s="216">
        <v>116.2</v>
      </c>
      <c r="AY29" s="700">
        <v>117.7</v>
      </c>
      <c r="AZ29" s="677">
        <v>13.4</v>
      </c>
      <c r="BA29" s="677">
        <v>22.3</v>
      </c>
      <c r="BB29" s="216">
        <v>22.8</v>
      </c>
      <c r="BC29" s="700">
        <v>23.1</v>
      </c>
      <c r="BD29" s="677"/>
      <c r="BE29" s="677"/>
      <c r="BF29" s="216"/>
    </row>
    <row r="30" spans="1:60" s="7" customFormat="1" ht="20.149999999999999" customHeight="1">
      <c r="A30" s="27" t="s">
        <v>170</v>
      </c>
      <c r="B30" s="105" t="s">
        <v>171</v>
      </c>
      <c r="C30" s="17">
        <f>9.894</f>
        <v>9.8940000000000001</v>
      </c>
      <c r="D30" s="30">
        <f>(263)*0.001</f>
        <v>0.26300000000000001</v>
      </c>
      <c r="E30" s="30">
        <f>(321)*0.001</f>
        <v>0.32100000000000001</v>
      </c>
      <c r="F30" s="183">
        <f>(6494)*0.001</f>
        <v>6.4939999999999998</v>
      </c>
      <c r="G30" s="30">
        <f>(1372)*0.001</f>
        <v>1.3720000000000001</v>
      </c>
      <c r="H30" s="30">
        <f>(1952)*0.001</f>
        <v>1.952</v>
      </c>
      <c r="I30" s="30">
        <f>(1195)*0.001</f>
        <v>1.1950000000000001</v>
      </c>
      <c r="J30" s="183">
        <f>(183)*0.001</f>
        <v>0.183</v>
      </c>
      <c r="K30" s="40">
        <f>(365)*0.001</f>
        <v>0.36499999999999999</v>
      </c>
      <c r="L30" s="16">
        <v>28</v>
      </c>
      <c r="M30" s="16">
        <v>26</v>
      </c>
      <c r="N30" s="183">
        <v>26</v>
      </c>
      <c r="O30" s="17">
        <v>28.9</v>
      </c>
      <c r="P30" s="17">
        <v>1.5</v>
      </c>
      <c r="Q30" s="16">
        <v>0.7</v>
      </c>
      <c r="R30" s="183">
        <v>0.7</v>
      </c>
      <c r="S30" s="77">
        <v>1.9</v>
      </c>
      <c r="T30" s="77">
        <v>1.4</v>
      </c>
      <c r="U30" s="77">
        <v>0.9</v>
      </c>
      <c r="V30" s="183">
        <v>29.1</v>
      </c>
      <c r="W30" s="77">
        <v>30.3</v>
      </c>
      <c r="X30" s="77">
        <v>17</v>
      </c>
      <c r="Y30" s="77">
        <v>25.3</v>
      </c>
      <c r="Z30" s="183">
        <v>1.3</v>
      </c>
      <c r="AA30" s="77">
        <v>55.8</v>
      </c>
      <c r="AB30" s="77">
        <v>68.7</v>
      </c>
      <c r="AC30" s="77">
        <v>65.400000000000006</v>
      </c>
      <c r="AD30" s="183">
        <v>34.6</v>
      </c>
      <c r="AE30" s="77">
        <v>36.799999999999997</v>
      </c>
      <c r="AF30" s="77">
        <v>5.6</v>
      </c>
      <c r="AG30" s="77">
        <v>4.5</v>
      </c>
      <c r="AH30" s="183">
        <v>4.8</v>
      </c>
      <c r="AI30" s="77">
        <v>7.1</v>
      </c>
      <c r="AJ30" s="77">
        <v>4.7</v>
      </c>
      <c r="AK30" s="77">
        <v>4.8</v>
      </c>
      <c r="AL30" s="183">
        <v>9</v>
      </c>
      <c r="AM30" s="77">
        <v>9.4</v>
      </c>
      <c r="AN30" s="77">
        <v>11.8</v>
      </c>
      <c r="AO30" s="77">
        <v>4.5999999999999996</v>
      </c>
      <c r="AP30" s="183">
        <v>4.5</v>
      </c>
      <c r="AQ30" s="77">
        <v>15.2</v>
      </c>
      <c r="AR30" s="664">
        <v>16.600000000000001</v>
      </c>
      <c r="AS30" s="679">
        <v>3.6</v>
      </c>
      <c r="AT30" s="183">
        <v>5</v>
      </c>
      <c r="AU30" s="77">
        <v>5.8</v>
      </c>
      <c r="AV30" s="677">
        <v>9.1</v>
      </c>
      <c r="AW30" s="677">
        <v>1.3</v>
      </c>
      <c r="AX30" s="216">
        <v>20</v>
      </c>
      <c r="AY30" s="77">
        <v>28</v>
      </c>
      <c r="AZ30" s="677">
        <v>25.3</v>
      </c>
      <c r="BA30" s="677">
        <v>3.5</v>
      </c>
      <c r="BB30" s="216">
        <v>34.299999999999997</v>
      </c>
      <c r="BC30" s="77">
        <v>51.1</v>
      </c>
      <c r="BD30" s="677"/>
      <c r="BE30" s="677"/>
      <c r="BF30" s="216"/>
    </row>
    <row r="31" spans="1:60" s="7" customFormat="1" ht="20.149999999999999" customHeight="1">
      <c r="A31" s="27" t="s">
        <v>172</v>
      </c>
      <c r="B31" s="105" t="s">
        <v>173</v>
      </c>
      <c r="C31" s="18">
        <v>0</v>
      </c>
      <c r="D31" s="30">
        <f>(53916)*0.001</f>
        <v>53.916000000000004</v>
      </c>
      <c r="E31" s="30">
        <f>(54038)*0.001</f>
        <v>54.038000000000004</v>
      </c>
      <c r="F31" s="183">
        <f>(57096)*0.001</f>
        <v>57.096000000000004</v>
      </c>
      <c r="G31" s="30">
        <f>(60035)*0.001</f>
        <v>60.035000000000004</v>
      </c>
      <c r="H31" s="30">
        <f>(63564)*0.001</f>
        <v>63.564</v>
      </c>
      <c r="I31" s="30">
        <f>(65852)*0.001</f>
        <v>65.852000000000004</v>
      </c>
      <c r="J31" s="183">
        <f>(70055)*0.001</f>
        <v>70.055000000000007</v>
      </c>
      <c r="K31" s="40">
        <f>(70958)*0.001</f>
        <v>70.957999999999998</v>
      </c>
      <c r="L31" s="16">
        <v>91.2</v>
      </c>
      <c r="M31" s="16">
        <v>117.3</v>
      </c>
      <c r="N31" s="183">
        <v>141.69999999999999</v>
      </c>
      <c r="O31" s="17">
        <v>165.3</v>
      </c>
      <c r="P31" s="17">
        <v>186.1</v>
      </c>
      <c r="Q31" s="16">
        <v>200.4</v>
      </c>
      <c r="R31" s="183">
        <v>212.7</v>
      </c>
      <c r="S31" s="77">
        <v>213.3</v>
      </c>
      <c r="T31" s="77">
        <v>209.1</v>
      </c>
      <c r="U31" s="77">
        <v>207.6</v>
      </c>
      <c r="V31" s="183">
        <v>207.2</v>
      </c>
      <c r="W31" s="77">
        <v>205.7</v>
      </c>
      <c r="X31" s="77">
        <v>202.3</v>
      </c>
      <c r="Y31" s="77">
        <v>203.5</v>
      </c>
      <c r="Z31" s="183">
        <v>207.9</v>
      </c>
      <c r="AA31" s="77">
        <v>206.9</v>
      </c>
      <c r="AB31" s="77">
        <v>230.1</v>
      </c>
      <c r="AC31" s="77">
        <v>230.1</v>
      </c>
      <c r="AD31" s="183">
        <v>218.5</v>
      </c>
      <c r="AE31" s="77">
        <v>221.6</v>
      </c>
      <c r="AF31" s="77">
        <v>221.7</v>
      </c>
      <c r="AG31" s="77">
        <v>227.5</v>
      </c>
      <c r="AH31" s="183">
        <v>225.7</v>
      </c>
      <c r="AI31" s="77">
        <v>222.1</v>
      </c>
      <c r="AJ31" s="77">
        <v>221.4</v>
      </c>
      <c r="AK31" s="77">
        <v>218.5</v>
      </c>
      <c r="AL31" s="183">
        <v>222.4</v>
      </c>
      <c r="AM31" s="77">
        <v>222.9</v>
      </c>
      <c r="AN31" s="77">
        <v>222.5</v>
      </c>
      <c r="AO31" s="77">
        <v>223.8</v>
      </c>
      <c r="AP31" s="183">
        <v>226.8</v>
      </c>
      <c r="AQ31" s="77">
        <v>221.2</v>
      </c>
      <c r="AR31" s="664">
        <v>220</v>
      </c>
      <c r="AS31" s="677">
        <v>216.6</v>
      </c>
      <c r="AT31" s="183">
        <v>217.3</v>
      </c>
      <c r="AU31" s="77">
        <v>214.8</v>
      </c>
      <c r="AV31" s="677">
        <v>213.5</v>
      </c>
      <c r="AW31" s="677">
        <v>226.3</v>
      </c>
      <c r="AX31" s="216">
        <v>227.4</v>
      </c>
      <c r="AY31" s="77">
        <v>241</v>
      </c>
      <c r="AZ31" s="677">
        <v>244.1</v>
      </c>
      <c r="BA31" s="677">
        <v>251.8</v>
      </c>
      <c r="BB31" s="216">
        <v>245.4</v>
      </c>
      <c r="BC31" s="77">
        <v>238.3</v>
      </c>
      <c r="BD31" s="677"/>
      <c r="BE31" s="677"/>
      <c r="BF31" s="216"/>
    </row>
    <row r="32" spans="1:60" s="7" customFormat="1" ht="20.149999999999999" customHeight="1">
      <c r="A32" s="27" t="s">
        <v>174</v>
      </c>
      <c r="B32" s="105" t="s">
        <v>175</v>
      </c>
      <c r="C32" s="17">
        <f>136.299</f>
        <v>136.29900000000001</v>
      </c>
      <c r="D32" s="30">
        <f>(73814)*0.001</f>
        <v>73.814000000000007</v>
      </c>
      <c r="E32" s="30">
        <f>(53239)*0.001</f>
        <v>53.239000000000004</v>
      </c>
      <c r="F32" s="183">
        <f>(71968)*0.001</f>
        <v>71.968000000000004</v>
      </c>
      <c r="G32" s="30">
        <f>(109187)*0.001</f>
        <v>109.187</v>
      </c>
      <c r="H32" s="30">
        <f>(93754)*0.001</f>
        <v>93.754000000000005</v>
      </c>
      <c r="I32" s="30">
        <f>(113708)*0.001</f>
        <v>113.708</v>
      </c>
      <c r="J32" s="183">
        <f>(105360)*0.001</f>
        <v>105.36</v>
      </c>
      <c r="K32" s="40">
        <f>(106732)*0.001</f>
        <v>106.732</v>
      </c>
      <c r="L32" s="16">
        <v>221.9</v>
      </c>
      <c r="M32" s="16">
        <v>224.2</v>
      </c>
      <c r="N32" s="183">
        <v>160.1</v>
      </c>
      <c r="O32" s="17">
        <v>212.9</v>
      </c>
      <c r="P32" s="17">
        <v>226.2</v>
      </c>
      <c r="Q32" s="16">
        <v>255</v>
      </c>
      <c r="R32" s="183">
        <v>399.5</v>
      </c>
      <c r="S32" s="77">
        <v>69.599999999999994</v>
      </c>
      <c r="T32" s="77">
        <v>62.8</v>
      </c>
      <c r="U32" s="77">
        <v>54.9</v>
      </c>
      <c r="V32" s="183">
        <v>38.700000000000003</v>
      </c>
      <c r="W32" s="77">
        <v>72.3</v>
      </c>
      <c r="X32" s="77">
        <v>60.7</v>
      </c>
      <c r="Y32" s="77">
        <v>61.7</v>
      </c>
      <c r="Z32" s="183">
        <v>31.7</v>
      </c>
      <c r="AA32" s="77">
        <v>70.2</v>
      </c>
      <c r="AB32" s="77">
        <v>82.5</v>
      </c>
      <c r="AC32" s="77">
        <v>56.8</v>
      </c>
      <c r="AD32" s="183">
        <v>34.9</v>
      </c>
      <c r="AE32" s="77">
        <v>71.099999999999994</v>
      </c>
      <c r="AF32" s="77">
        <v>55.5</v>
      </c>
      <c r="AG32" s="77">
        <v>52.2</v>
      </c>
      <c r="AH32" s="183">
        <v>31.9</v>
      </c>
      <c r="AI32" s="77">
        <v>72.3</v>
      </c>
      <c r="AJ32" s="77">
        <v>57</v>
      </c>
      <c r="AK32" s="77">
        <v>44.2</v>
      </c>
      <c r="AL32" s="183">
        <v>39.299999999999997</v>
      </c>
      <c r="AM32" s="77">
        <v>57.7</v>
      </c>
      <c r="AN32" s="77">
        <v>44.2</v>
      </c>
      <c r="AO32" s="77">
        <v>44.5</v>
      </c>
      <c r="AP32" s="183">
        <v>107.1</v>
      </c>
      <c r="AQ32" s="77">
        <v>191.1</v>
      </c>
      <c r="AR32" s="664">
        <v>225.2</v>
      </c>
      <c r="AS32" s="677">
        <v>182.5</v>
      </c>
      <c r="AT32" s="183">
        <v>137.19999999999999</v>
      </c>
      <c r="AU32" s="77">
        <v>152.4</v>
      </c>
      <c r="AV32" s="677">
        <v>148.69999999999999</v>
      </c>
      <c r="AW32" s="727">
        <v>158.69999999999999</v>
      </c>
      <c r="AX32" s="216">
        <v>139.69999999999999</v>
      </c>
      <c r="AY32" s="77">
        <v>207</v>
      </c>
      <c r="AZ32" s="677">
        <v>177.6</v>
      </c>
      <c r="BA32" s="727">
        <v>177.9</v>
      </c>
      <c r="BB32" s="216">
        <v>970.3</v>
      </c>
      <c r="BC32" s="77">
        <v>208.4</v>
      </c>
      <c r="BD32" s="677"/>
      <c r="BE32" s="727"/>
      <c r="BF32" s="216"/>
    </row>
    <row r="33" spans="1:58" s="7" customFormat="1" ht="20.149999999999999" customHeight="1">
      <c r="A33" s="29" t="s">
        <v>783</v>
      </c>
      <c r="B33" s="109" t="s">
        <v>784</v>
      </c>
      <c r="C33" s="17"/>
      <c r="D33" s="30"/>
      <c r="E33" s="30"/>
      <c r="F33" s="183"/>
      <c r="G33" s="30"/>
      <c r="H33" s="30"/>
      <c r="I33" s="30"/>
      <c r="J33" s="183"/>
      <c r="K33" s="40"/>
      <c r="L33" s="16"/>
      <c r="M33" s="16"/>
      <c r="N33" s="183"/>
      <c r="O33" s="17"/>
      <c r="P33" s="17"/>
      <c r="Q33" s="16"/>
      <c r="R33" s="183"/>
      <c r="S33" s="77"/>
      <c r="T33" s="77"/>
      <c r="U33" s="77"/>
      <c r="V33" s="183"/>
      <c r="W33" s="77"/>
      <c r="X33" s="77"/>
      <c r="Y33" s="77"/>
      <c r="Z33" s="183"/>
      <c r="AA33" s="77"/>
      <c r="AB33" s="77"/>
      <c r="AC33" s="77"/>
      <c r="AD33" s="183"/>
      <c r="AE33" s="78">
        <v>0</v>
      </c>
      <c r="AF33" s="78">
        <v>0</v>
      </c>
      <c r="AG33" s="77">
        <v>0</v>
      </c>
      <c r="AH33" s="185">
        <v>0</v>
      </c>
      <c r="AI33" s="78">
        <v>0</v>
      </c>
      <c r="AJ33" s="78">
        <v>0</v>
      </c>
      <c r="AK33" s="77">
        <v>0</v>
      </c>
      <c r="AL33" s="185">
        <v>0</v>
      </c>
      <c r="AM33" s="78">
        <v>0</v>
      </c>
      <c r="AN33" s="78">
        <v>0</v>
      </c>
      <c r="AO33" s="77">
        <v>0</v>
      </c>
      <c r="AP33" s="185">
        <v>0</v>
      </c>
      <c r="AQ33" s="78">
        <v>0</v>
      </c>
      <c r="AR33" s="78">
        <v>0</v>
      </c>
      <c r="AS33" s="77">
        <v>0</v>
      </c>
      <c r="AT33" s="185">
        <v>0</v>
      </c>
      <c r="AU33" s="78">
        <v>0</v>
      </c>
      <c r="AV33" s="78">
        <v>0</v>
      </c>
      <c r="AW33" s="77">
        <v>0</v>
      </c>
      <c r="AX33" s="185">
        <v>0</v>
      </c>
      <c r="AY33" s="78">
        <v>0</v>
      </c>
      <c r="AZ33" s="78">
        <v>0</v>
      </c>
      <c r="BA33" s="77">
        <v>0</v>
      </c>
      <c r="BB33" s="698">
        <v>808.6</v>
      </c>
      <c r="BC33" s="78">
        <v>0</v>
      </c>
      <c r="BD33" s="78"/>
      <c r="BE33" s="77"/>
      <c r="BF33" s="698"/>
    </row>
    <row r="34" spans="1:58" s="15" customFormat="1" ht="20.149999999999999" customHeight="1">
      <c r="A34" s="29" t="s">
        <v>154</v>
      </c>
      <c r="B34" s="109" t="s">
        <v>176</v>
      </c>
      <c r="C34" s="18">
        <v>0</v>
      </c>
      <c r="D34" s="18">
        <f>0</f>
        <v>0</v>
      </c>
      <c r="E34" s="18">
        <v>0</v>
      </c>
      <c r="F34" s="185">
        <f>0</f>
        <v>0</v>
      </c>
      <c r="G34" s="18">
        <f>0</f>
        <v>0</v>
      </c>
      <c r="H34" s="18">
        <v>0</v>
      </c>
      <c r="I34" s="18">
        <f>0</f>
        <v>0</v>
      </c>
      <c r="J34" s="185">
        <v>0</v>
      </c>
      <c r="K34" s="31">
        <v>0</v>
      </c>
      <c r="L34" s="18" t="e">
        <f>0*($A$88)</f>
        <v>#VALUE!</v>
      </c>
      <c r="M34" s="18" t="e">
        <f>0*($A$88)</f>
        <v>#VALUE!</v>
      </c>
      <c r="N34" s="185">
        <v>22.2</v>
      </c>
      <c r="O34" s="22">
        <v>26.3</v>
      </c>
      <c r="P34" s="22">
        <v>27.3</v>
      </c>
      <c r="Q34" s="25">
        <v>3.8</v>
      </c>
      <c r="R34" s="185">
        <v>10.5</v>
      </c>
      <c r="S34" s="78">
        <v>0.2</v>
      </c>
      <c r="T34" s="78">
        <v>3.6</v>
      </c>
      <c r="U34" s="78">
        <v>4.8</v>
      </c>
      <c r="V34" s="185">
        <v>6.7</v>
      </c>
      <c r="W34" s="78">
        <v>4.9000000000000004</v>
      </c>
      <c r="X34" s="78">
        <v>5.3</v>
      </c>
      <c r="Y34" s="78">
        <v>6.4</v>
      </c>
      <c r="Z34" s="185">
        <v>5.0999999999999996</v>
      </c>
      <c r="AA34" s="78">
        <v>2.7</v>
      </c>
      <c r="AB34" s="78">
        <v>1.6</v>
      </c>
      <c r="AC34" s="78">
        <v>0.4</v>
      </c>
      <c r="AD34" s="185">
        <v>0</v>
      </c>
      <c r="AE34" s="78">
        <v>0</v>
      </c>
      <c r="AF34" s="78">
        <v>0</v>
      </c>
      <c r="AG34" s="77">
        <v>0</v>
      </c>
      <c r="AH34" s="185">
        <v>0.2</v>
      </c>
      <c r="AI34" s="78">
        <v>0</v>
      </c>
      <c r="AJ34" s="78">
        <v>0.2</v>
      </c>
      <c r="AK34" s="78">
        <v>0</v>
      </c>
      <c r="AL34" s="584">
        <v>2</v>
      </c>
      <c r="AM34" s="78">
        <v>1.6</v>
      </c>
      <c r="AN34" s="173">
        <v>1.6</v>
      </c>
      <c r="AO34" s="78">
        <v>3.6</v>
      </c>
      <c r="AP34" s="584">
        <v>60.9</v>
      </c>
      <c r="AQ34" s="173">
        <v>108.8</v>
      </c>
      <c r="AR34" s="665">
        <v>138.80000000000001</v>
      </c>
      <c r="AS34" s="683">
        <v>99.3</v>
      </c>
      <c r="AT34" s="583">
        <v>63.9</v>
      </c>
      <c r="AU34" s="173">
        <v>36.5</v>
      </c>
      <c r="AV34" s="683">
        <v>29.6</v>
      </c>
      <c r="AW34" s="751">
        <v>12</v>
      </c>
      <c r="AX34" s="698">
        <v>21.6</v>
      </c>
      <c r="AY34" s="173">
        <v>33.9</v>
      </c>
      <c r="AZ34" s="683">
        <v>39.200000000000003</v>
      </c>
      <c r="BA34" s="751">
        <v>36.4</v>
      </c>
      <c r="BB34" s="698">
        <v>40.4</v>
      </c>
      <c r="BC34" s="173">
        <v>38.200000000000003</v>
      </c>
      <c r="BD34" s="683"/>
      <c r="BE34" s="751"/>
      <c r="BF34" s="698"/>
    </row>
    <row r="35" spans="1:58" s="7" customFormat="1" ht="20.149999999999999" customHeight="1">
      <c r="A35" s="27" t="s">
        <v>177</v>
      </c>
      <c r="B35" s="105" t="s">
        <v>178</v>
      </c>
      <c r="C35" s="18">
        <v>0</v>
      </c>
      <c r="D35" s="18">
        <f>0</f>
        <v>0</v>
      </c>
      <c r="E35" s="18">
        <v>0</v>
      </c>
      <c r="F35" s="185">
        <v>0</v>
      </c>
      <c r="G35" s="18">
        <f>0</f>
        <v>0</v>
      </c>
      <c r="H35" s="18">
        <v>0</v>
      </c>
      <c r="I35" s="18">
        <f>0</f>
        <v>0</v>
      </c>
      <c r="J35" s="185">
        <v>0</v>
      </c>
      <c r="K35" s="31">
        <v>0</v>
      </c>
      <c r="L35" s="26">
        <v>270</v>
      </c>
      <c r="M35" s="26">
        <v>30</v>
      </c>
      <c r="N35" s="185" t="e">
        <f>0*($A$88)</f>
        <v>#VALUE!</v>
      </c>
      <c r="O35" s="17">
        <v>42.7</v>
      </c>
      <c r="P35" s="17">
        <v>43.1</v>
      </c>
      <c r="Q35" s="19">
        <v>0</v>
      </c>
      <c r="R35" s="185">
        <v>0</v>
      </c>
      <c r="S35" s="77">
        <v>12.4</v>
      </c>
      <c r="T35" s="77">
        <v>0</v>
      </c>
      <c r="U35" s="77">
        <v>0</v>
      </c>
      <c r="V35" s="185">
        <v>0</v>
      </c>
      <c r="W35" s="77">
        <v>0</v>
      </c>
      <c r="X35" s="77">
        <v>0</v>
      </c>
      <c r="Y35" s="77">
        <v>0</v>
      </c>
      <c r="Z35" s="185">
        <v>0</v>
      </c>
      <c r="AA35" s="77">
        <v>0</v>
      </c>
      <c r="AB35" s="77">
        <v>0</v>
      </c>
      <c r="AC35" s="77">
        <v>0</v>
      </c>
      <c r="AD35" s="185">
        <v>0</v>
      </c>
      <c r="AE35" s="77">
        <v>0</v>
      </c>
      <c r="AF35" s="77">
        <v>0</v>
      </c>
      <c r="AG35" s="77">
        <v>0</v>
      </c>
      <c r="AH35" s="185">
        <v>0</v>
      </c>
      <c r="AI35" s="77">
        <v>0</v>
      </c>
      <c r="AJ35" s="77">
        <v>0</v>
      </c>
      <c r="AK35" s="77">
        <v>0</v>
      </c>
      <c r="AL35" s="185">
        <v>0</v>
      </c>
      <c r="AM35" s="77">
        <v>0</v>
      </c>
      <c r="AN35" s="77">
        <v>0</v>
      </c>
      <c r="AO35" s="77">
        <v>0</v>
      </c>
      <c r="AP35" s="185">
        <v>0</v>
      </c>
      <c r="AQ35" s="77">
        <v>0</v>
      </c>
      <c r="AR35" s="664">
        <v>0</v>
      </c>
      <c r="AS35" s="664">
        <v>0</v>
      </c>
      <c r="AT35" s="185">
        <v>0</v>
      </c>
      <c r="AU35" s="77">
        <v>0</v>
      </c>
      <c r="AV35" s="664">
        <v>0</v>
      </c>
      <c r="AW35" s="664">
        <v>0</v>
      </c>
      <c r="AX35" s="219">
        <v>0</v>
      </c>
      <c r="AY35" s="77">
        <v>1.6</v>
      </c>
      <c r="AZ35" s="664">
        <v>0</v>
      </c>
      <c r="BA35" s="664">
        <v>0</v>
      </c>
      <c r="BB35" s="219">
        <v>0</v>
      </c>
      <c r="BC35" s="77">
        <v>0</v>
      </c>
      <c r="BD35" s="664"/>
      <c r="BE35" s="664"/>
      <c r="BF35" s="219"/>
    </row>
    <row r="36" spans="1:58" s="7" customFormat="1" ht="20.149999999999999" customHeight="1">
      <c r="A36" s="27" t="s">
        <v>179</v>
      </c>
      <c r="B36" s="105" t="s">
        <v>180</v>
      </c>
      <c r="C36" s="17">
        <f>422.627</f>
        <v>422.62700000000001</v>
      </c>
      <c r="D36" s="30">
        <f>(309519)*0.001</f>
        <v>309.51900000000001</v>
      </c>
      <c r="E36" s="30">
        <f>(225111)*0.001</f>
        <v>225.11100000000002</v>
      </c>
      <c r="F36" s="183">
        <f>(270354)*0.001</f>
        <v>270.35399999999998</v>
      </c>
      <c r="G36" s="30">
        <f>(324338)*0.001</f>
        <v>324.33800000000002</v>
      </c>
      <c r="H36" s="30">
        <f>(265803)*0.001</f>
        <v>265.803</v>
      </c>
      <c r="I36" s="30">
        <f>(215396)*0.001</f>
        <v>215.39600000000002</v>
      </c>
      <c r="J36" s="183">
        <f>(342251)*0.001</f>
        <v>342.25100000000003</v>
      </c>
      <c r="K36" s="40">
        <f>(428190)*0.001</f>
        <v>428.19</v>
      </c>
      <c r="L36" s="16">
        <v>1894.3</v>
      </c>
      <c r="M36" s="16">
        <v>1631</v>
      </c>
      <c r="N36" s="183">
        <v>1735.3</v>
      </c>
      <c r="O36" s="17">
        <v>1478.9</v>
      </c>
      <c r="P36" s="17">
        <v>1383.8</v>
      </c>
      <c r="Q36" s="16">
        <v>1059.5999999999999</v>
      </c>
      <c r="R36" s="183">
        <v>1512</v>
      </c>
      <c r="S36" s="77">
        <v>1538.6</v>
      </c>
      <c r="T36" s="77">
        <v>944.5</v>
      </c>
      <c r="U36" s="77">
        <v>1099.4000000000001</v>
      </c>
      <c r="V36" s="183">
        <v>1326</v>
      </c>
      <c r="W36" s="77">
        <v>1567.7</v>
      </c>
      <c r="X36" s="77">
        <v>1354.6</v>
      </c>
      <c r="Y36" s="77">
        <v>1080.2</v>
      </c>
      <c r="Z36" s="183">
        <v>1161.5</v>
      </c>
      <c r="AA36" s="77">
        <v>785.9</v>
      </c>
      <c r="AB36" s="77">
        <v>876.1</v>
      </c>
      <c r="AC36" s="77">
        <v>1151.5</v>
      </c>
      <c r="AD36" s="183">
        <v>1167</v>
      </c>
      <c r="AE36" s="77">
        <v>745.7</v>
      </c>
      <c r="AF36" s="77">
        <v>774.9</v>
      </c>
      <c r="AG36" s="77">
        <v>878.2</v>
      </c>
      <c r="AH36" s="183">
        <v>743.5</v>
      </c>
      <c r="AI36" s="77">
        <v>1130.5999999999999</v>
      </c>
      <c r="AJ36" s="77">
        <v>1310.4000000000001</v>
      </c>
      <c r="AK36" s="77">
        <v>1153.0999999999999</v>
      </c>
      <c r="AL36" s="183">
        <v>1355.4</v>
      </c>
      <c r="AM36" s="77">
        <v>1147.5999999999999</v>
      </c>
      <c r="AN36" s="77">
        <v>659.8</v>
      </c>
      <c r="AO36" s="77">
        <v>7462.8</v>
      </c>
      <c r="AP36" s="183">
        <v>3632.4</v>
      </c>
      <c r="AQ36" s="77">
        <v>3342.9</v>
      </c>
      <c r="AR36" s="664">
        <v>1053</v>
      </c>
      <c r="AS36" s="678">
        <v>1586</v>
      </c>
      <c r="AT36" s="183">
        <v>808.5</v>
      </c>
      <c r="AU36" s="77">
        <v>1463.5</v>
      </c>
      <c r="AV36" s="678">
        <v>3466.3</v>
      </c>
      <c r="AW36" s="678">
        <v>4162</v>
      </c>
      <c r="AX36" s="216">
        <v>3306</v>
      </c>
      <c r="AY36" s="77">
        <v>2694.9</v>
      </c>
      <c r="AZ36" s="678">
        <v>3060</v>
      </c>
      <c r="BA36" s="678">
        <v>3073.3</v>
      </c>
      <c r="BB36" s="216">
        <v>2653</v>
      </c>
      <c r="BC36" s="77">
        <v>2228.3000000000002</v>
      </c>
      <c r="BD36" s="678"/>
      <c r="BE36" s="678"/>
      <c r="BF36" s="216"/>
    </row>
    <row r="37" spans="1:58" s="7" customFormat="1" ht="20.149999999999999" customHeight="1" thickBot="1">
      <c r="A37" s="27" t="s">
        <v>181</v>
      </c>
      <c r="B37" s="105" t="s">
        <v>182</v>
      </c>
      <c r="C37" s="18">
        <v>0</v>
      </c>
      <c r="D37" s="18">
        <f>0</f>
        <v>0</v>
      </c>
      <c r="E37" s="18">
        <f>0</f>
        <v>0</v>
      </c>
      <c r="F37" s="185">
        <v>0</v>
      </c>
      <c r="G37" s="18">
        <f>0</f>
        <v>0</v>
      </c>
      <c r="H37" s="18">
        <v>0</v>
      </c>
      <c r="I37" s="18">
        <f>0</f>
        <v>0</v>
      </c>
      <c r="J37" s="185">
        <v>0</v>
      </c>
      <c r="K37" s="31">
        <v>0</v>
      </c>
      <c r="L37" s="26">
        <v>12.6</v>
      </c>
      <c r="M37" s="26">
        <v>12.2</v>
      </c>
      <c r="N37" s="185">
        <v>12.6</v>
      </c>
      <c r="O37" s="17">
        <v>12.7</v>
      </c>
      <c r="P37" s="17">
        <v>12.8</v>
      </c>
      <c r="Q37" s="26">
        <v>12.4</v>
      </c>
      <c r="R37" s="185">
        <v>11.7</v>
      </c>
      <c r="S37" s="77">
        <v>31.4</v>
      </c>
      <c r="T37" s="77">
        <v>10.9</v>
      </c>
      <c r="U37" s="77">
        <v>10.8</v>
      </c>
      <c r="V37" s="185">
        <v>10.7</v>
      </c>
      <c r="W37" s="77">
        <v>9.6</v>
      </c>
      <c r="X37" s="77">
        <v>8</v>
      </c>
      <c r="Y37" s="77">
        <v>8.1999999999999993</v>
      </c>
      <c r="Z37" s="185">
        <v>10.5</v>
      </c>
      <c r="AA37" s="77">
        <v>11.6</v>
      </c>
      <c r="AB37" s="77">
        <v>11.7</v>
      </c>
      <c r="AC37" s="77">
        <v>11.6</v>
      </c>
      <c r="AD37" s="185">
        <v>11.7</v>
      </c>
      <c r="AE37" s="77">
        <v>11.3</v>
      </c>
      <c r="AF37" s="77">
        <v>8.9</v>
      </c>
      <c r="AG37" s="77">
        <v>8</v>
      </c>
      <c r="AH37" s="185">
        <v>9.6</v>
      </c>
      <c r="AI37" s="77">
        <v>10.199999999999999</v>
      </c>
      <c r="AJ37" s="77">
        <v>10.1</v>
      </c>
      <c r="AK37" s="77">
        <v>11.1</v>
      </c>
      <c r="AL37" s="185">
        <v>10.4</v>
      </c>
      <c r="AM37" s="77">
        <v>11.2</v>
      </c>
      <c r="AN37" s="77">
        <v>8.6999999999999993</v>
      </c>
      <c r="AO37" s="77">
        <v>9.5</v>
      </c>
      <c r="AP37" s="183">
        <v>11.9</v>
      </c>
      <c r="AQ37" s="77">
        <v>10.8</v>
      </c>
      <c r="AR37" s="664">
        <v>9</v>
      </c>
      <c r="AS37" s="77">
        <v>10.1</v>
      </c>
      <c r="AT37" s="183">
        <v>9.3000000000000007</v>
      </c>
      <c r="AU37" s="77">
        <v>9.9</v>
      </c>
      <c r="AV37" s="729">
        <v>12.2</v>
      </c>
      <c r="AW37" s="729">
        <v>19.7</v>
      </c>
      <c r="AX37" s="216">
        <v>19.7</v>
      </c>
      <c r="AY37" s="77">
        <v>24.3</v>
      </c>
      <c r="AZ37" s="729">
        <v>16.8</v>
      </c>
      <c r="BA37" s="729">
        <v>24.3</v>
      </c>
      <c r="BB37" s="216">
        <v>34.1</v>
      </c>
      <c r="BC37" s="77">
        <v>26.6</v>
      </c>
      <c r="BD37" s="729"/>
      <c r="BE37" s="729"/>
      <c r="BF37" s="216"/>
    </row>
    <row r="38" spans="1:58" s="199" customFormat="1" ht="25.2" customHeight="1" thickBot="1">
      <c r="A38" s="373" t="s">
        <v>183</v>
      </c>
      <c r="B38" s="373" t="s">
        <v>184</v>
      </c>
      <c r="C38" s="374">
        <f t="shared" ref="C38:M38" si="4">SUM(C25:C37)</f>
        <v>1273.798</v>
      </c>
      <c r="D38" s="375">
        <f t="shared" si="4"/>
        <v>1172.6559999999999</v>
      </c>
      <c r="E38" s="375">
        <f t="shared" si="4"/>
        <v>1058.173</v>
      </c>
      <c r="F38" s="376">
        <f t="shared" si="4"/>
        <v>1085.1969999999999</v>
      </c>
      <c r="G38" s="375">
        <f t="shared" si="4"/>
        <v>1204.625</v>
      </c>
      <c r="H38" s="375">
        <f t="shared" si="4"/>
        <v>1164.163</v>
      </c>
      <c r="I38" s="375">
        <f t="shared" si="4"/>
        <v>1161.885</v>
      </c>
      <c r="J38" s="376">
        <f t="shared" si="4"/>
        <v>1220.3850000000002</v>
      </c>
      <c r="K38" s="374">
        <f t="shared" si="4"/>
        <v>1396.8419999999999</v>
      </c>
      <c r="L38" s="375" t="e">
        <f t="shared" si="4"/>
        <v>#VALUE!</v>
      </c>
      <c r="M38" s="375" t="e">
        <f t="shared" si="4"/>
        <v>#VALUE!</v>
      </c>
      <c r="N38" s="376" t="e">
        <f t="shared" ref="N38:BA38" si="5">SUM(N25:N37)-N34</f>
        <v>#VALUE!</v>
      </c>
      <c r="O38" s="374" t="e">
        <f t="shared" si="5"/>
        <v>#VALUE!</v>
      </c>
      <c r="P38" s="375">
        <f t="shared" si="5"/>
        <v>4274.2</v>
      </c>
      <c r="Q38" s="375">
        <f t="shared" si="5"/>
        <v>3747.2000000000003</v>
      </c>
      <c r="R38" s="376">
        <f t="shared" si="5"/>
        <v>4228.8999999999987</v>
      </c>
      <c r="S38" s="374">
        <f t="shared" si="5"/>
        <v>3866.0000000000005</v>
      </c>
      <c r="T38" s="375">
        <f t="shared" si="5"/>
        <v>3203.3</v>
      </c>
      <c r="U38" s="375">
        <f t="shared" si="5"/>
        <v>3445.5000000000005</v>
      </c>
      <c r="V38" s="376">
        <f t="shared" si="5"/>
        <v>3770.3999999999992</v>
      </c>
      <c r="W38" s="374">
        <f t="shared" si="5"/>
        <v>3911.1000000000004</v>
      </c>
      <c r="X38" s="375">
        <f t="shared" si="5"/>
        <v>3862.9</v>
      </c>
      <c r="Y38" s="375">
        <f t="shared" si="5"/>
        <v>3676.6</v>
      </c>
      <c r="Z38" s="376">
        <f t="shared" si="5"/>
        <v>3931.5</v>
      </c>
      <c r="AA38" s="374">
        <f t="shared" si="5"/>
        <v>4363.8</v>
      </c>
      <c r="AB38" s="375">
        <f t="shared" si="5"/>
        <v>4827.2</v>
      </c>
      <c r="AC38" s="375">
        <f t="shared" si="5"/>
        <v>5300.0000000000009</v>
      </c>
      <c r="AD38" s="376">
        <f t="shared" si="5"/>
        <v>5422.7</v>
      </c>
      <c r="AE38" s="374">
        <f t="shared" si="5"/>
        <v>4952.3000000000011</v>
      </c>
      <c r="AF38" s="375">
        <f t="shared" si="5"/>
        <v>4886.0999999999985</v>
      </c>
      <c r="AG38" s="375">
        <f t="shared" si="5"/>
        <v>5013.3999999999996</v>
      </c>
      <c r="AH38" s="376">
        <f t="shared" si="5"/>
        <v>4984.8999999999996</v>
      </c>
      <c r="AI38" s="374">
        <f t="shared" si="5"/>
        <v>5339.8</v>
      </c>
      <c r="AJ38" s="375">
        <f t="shared" si="5"/>
        <v>5513.2</v>
      </c>
      <c r="AK38" s="375">
        <f t="shared" si="5"/>
        <v>5282.3000000000011</v>
      </c>
      <c r="AL38" s="376">
        <f t="shared" si="5"/>
        <v>5277.2000000000007</v>
      </c>
      <c r="AM38" s="374">
        <f t="shared" si="5"/>
        <v>5114.2999999999993</v>
      </c>
      <c r="AN38" s="375">
        <f t="shared" si="5"/>
        <v>4780.8</v>
      </c>
      <c r="AO38" s="375">
        <f t="shared" si="5"/>
        <v>12037.9</v>
      </c>
      <c r="AP38" s="376">
        <f t="shared" si="5"/>
        <v>8077.3000000000011</v>
      </c>
      <c r="AQ38" s="374">
        <f t="shared" si="5"/>
        <v>8023.6</v>
      </c>
      <c r="AR38" s="666">
        <f t="shared" si="5"/>
        <v>6134.7</v>
      </c>
      <c r="AS38" s="375">
        <f t="shared" si="5"/>
        <v>6747.7000000000007</v>
      </c>
      <c r="AT38" s="376">
        <f t="shared" si="5"/>
        <v>6403.6</v>
      </c>
      <c r="AU38" s="374">
        <f t="shared" si="5"/>
        <v>6966.2999999999993</v>
      </c>
      <c r="AV38" s="666">
        <f t="shared" si="5"/>
        <v>8802.5000000000018</v>
      </c>
      <c r="AW38" s="375">
        <f t="shared" si="5"/>
        <v>10055.200000000001</v>
      </c>
      <c r="AX38" s="376">
        <f t="shared" si="5"/>
        <v>9018.9</v>
      </c>
      <c r="AY38" s="374">
        <f t="shared" si="5"/>
        <v>8473.1999999999989</v>
      </c>
      <c r="AZ38" s="666">
        <f t="shared" si="5"/>
        <v>8720.7999999999993</v>
      </c>
      <c r="BA38" s="666">
        <f t="shared" si="5"/>
        <v>8741.1</v>
      </c>
      <c r="BB38" s="376">
        <f>SUM(BB25:BB37)-BB34-BB33</f>
        <v>9023.6</v>
      </c>
      <c r="BC38" s="374">
        <f t="shared" ref="BC38" si="6">SUM(BC25:BC37)-BC34</f>
        <v>7997.8000000000011</v>
      </c>
      <c r="BD38" s="666"/>
      <c r="BE38" s="666"/>
      <c r="BF38" s="376"/>
    </row>
    <row r="39" spans="1:58" s="7" customFormat="1" ht="20.149999999999999" customHeight="1">
      <c r="A39" s="198" t="s">
        <v>185</v>
      </c>
      <c r="B39" s="181" t="s">
        <v>186</v>
      </c>
      <c r="C39" s="18"/>
      <c r="D39" s="18"/>
      <c r="E39" s="18"/>
      <c r="F39" s="185"/>
      <c r="G39" s="18"/>
      <c r="H39" s="18"/>
      <c r="I39" s="18"/>
      <c r="J39" s="185"/>
      <c r="K39" s="31"/>
      <c r="L39" s="26"/>
      <c r="M39" s="26"/>
      <c r="N39" s="185"/>
      <c r="O39" s="17"/>
      <c r="P39" s="17"/>
      <c r="Q39" s="19"/>
      <c r="R39" s="185"/>
      <c r="S39" s="77"/>
      <c r="T39" s="77"/>
      <c r="U39" s="77"/>
      <c r="V39" s="185"/>
      <c r="W39" s="77"/>
      <c r="X39" s="77"/>
      <c r="Y39" s="77"/>
      <c r="Z39" s="185"/>
      <c r="AA39" s="77"/>
      <c r="AB39" s="77"/>
      <c r="AC39" s="77"/>
      <c r="AD39" s="185"/>
      <c r="AE39" s="77"/>
      <c r="AF39" s="77"/>
      <c r="AG39" s="77"/>
      <c r="AH39" s="185"/>
      <c r="AI39" s="77"/>
      <c r="AJ39" s="77"/>
      <c r="AK39" s="77"/>
      <c r="AL39" s="185"/>
      <c r="AM39" s="77">
        <v>3574.4</v>
      </c>
      <c r="AN39" s="182">
        <v>4581.1000000000004</v>
      </c>
      <c r="AO39" s="77">
        <v>0</v>
      </c>
      <c r="AP39" s="185">
        <v>0</v>
      </c>
      <c r="AQ39" s="77"/>
      <c r="AR39" s="486"/>
      <c r="AS39" s="77"/>
      <c r="AT39" s="183">
        <v>127.7</v>
      </c>
      <c r="AU39" s="77">
        <v>127.7</v>
      </c>
      <c r="AV39" s="486">
        <v>183.2</v>
      </c>
      <c r="AW39" s="77">
        <v>133.5</v>
      </c>
      <c r="AX39" s="183">
        <v>8.6</v>
      </c>
      <c r="AY39" s="77">
        <v>5.7</v>
      </c>
      <c r="AZ39" s="486">
        <v>9.1</v>
      </c>
      <c r="BA39" s="77">
        <v>9.1</v>
      </c>
      <c r="BB39" s="183">
        <v>3.3</v>
      </c>
      <c r="BC39" s="77">
        <v>1.5</v>
      </c>
      <c r="BD39" s="486"/>
      <c r="BE39" s="77"/>
      <c r="BF39" s="183"/>
    </row>
    <row r="40" spans="1:58" s="7" customFormat="1" ht="20.149999999999999" customHeight="1">
      <c r="A40" s="368" t="s">
        <v>187</v>
      </c>
      <c r="B40" s="369" t="s">
        <v>188</v>
      </c>
      <c r="C40" s="18"/>
      <c r="D40" s="18"/>
      <c r="E40" s="18"/>
      <c r="F40" s="185"/>
      <c r="G40" s="18"/>
      <c r="H40" s="18"/>
      <c r="I40" s="18"/>
      <c r="J40" s="185"/>
      <c r="K40" s="31"/>
      <c r="L40" s="26"/>
      <c r="M40" s="26"/>
      <c r="N40" s="185"/>
      <c r="O40" s="17"/>
      <c r="P40" s="17"/>
      <c r="Q40" s="19"/>
      <c r="R40" s="185"/>
      <c r="S40" s="77"/>
      <c r="T40" s="77"/>
      <c r="U40" s="77"/>
      <c r="V40" s="185"/>
      <c r="W40" s="77"/>
      <c r="X40" s="77"/>
      <c r="Y40" s="77"/>
      <c r="Z40" s="185"/>
      <c r="AA40" s="77"/>
      <c r="AB40" s="77"/>
      <c r="AC40" s="77"/>
      <c r="AD40" s="185"/>
      <c r="AE40" s="77"/>
      <c r="AF40" s="77"/>
      <c r="AG40" s="77"/>
      <c r="AH40" s="185"/>
      <c r="AI40" s="77"/>
      <c r="AJ40" s="77"/>
      <c r="AK40" s="77"/>
      <c r="AL40" s="185"/>
      <c r="AM40" s="78">
        <v>108.5</v>
      </c>
      <c r="AN40" s="78">
        <v>95.5</v>
      </c>
      <c r="AO40" s="77">
        <v>0</v>
      </c>
      <c r="AP40" s="185"/>
      <c r="AQ40" s="78"/>
      <c r="AR40" s="667"/>
      <c r="AS40" s="77"/>
      <c r="AT40" s="185"/>
      <c r="AU40" s="78"/>
      <c r="AV40" s="667"/>
      <c r="AW40" s="77"/>
      <c r="AX40" s="698">
        <v>1.2</v>
      </c>
      <c r="AY40" s="77">
        <v>0</v>
      </c>
      <c r="AZ40" s="667">
        <v>0</v>
      </c>
      <c r="BA40" s="77">
        <v>0</v>
      </c>
      <c r="BB40" s="698">
        <v>0</v>
      </c>
      <c r="BC40" s="77">
        <v>0</v>
      </c>
      <c r="BD40" s="667"/>
      <c r="BE40" s="77"/>
      <c r="BF40" s="698"/>
    </row>
    <row r="41" spans="1:58" s="200" customFormat="1" ht="25.2" customHeight="1">
      <c r="A41" s="364" t="s">
        <v>189</v>
      </c>
      <c r="B41" s="364" t="s">
        <v>190</v>
      </c>
      <c r="C41" s="365">
        <f t="shared" ref="C41:AL41" si="7">C24+C38</f>
        <v>5502.7539999999999</v>
      </c>
      <c r="D41" s="366">
        <f t="shared" si="7"/>
        <v>5597.8010000000004</v>
      </c>
      <c r="E41" s="366">
        <f t="shared" si="7"/>
        <v>5514.8739999999998</v>
      </c>
      <c r="F41" s="367">
        <f t="shared" si="7"/>
        <v>5561.3450000000003</v>
      </c>
      <c r="G41" s="366">
        <f t="shared" si="7"/>
        <v>5629.4740000000011</v>
      </c>
      <c r="H41" s="366">
        <f t="shared" si="7"/>
        <v>5592.7070000000003</v>
      </c>
      <c r="I41" s="366">
        <f t="shared" si="7"/>
        <v>5597.9810000000007</v>
      </c>
      <c r="J41" s="367">
        <f t="shared" si="7"/>
        <v>5676.2300000000005</v>
      </c>
      <c r="K41" s="365">
        <f t="shared" si="7"/>
        <v>5851.1940000000004</v>
      </c>
      <c r="L41" s="366" t="e">
        <f t="shared" si="7"/>
        <v>#VALUE!</v>
      </c>
      <c r="M41" s="366" t="e">
        <f t="shared" si="7"/>
        <v>#VALUE!</v>
      </c>
      <c r="N41" s="367" t="e">
        <f t="shared" si="7"/>
        <v>#VALUE!</v>
      </c>
      <c r="O41" s="365" t="e">
        <f t="shared" si="7"/>
        <v>#VALUE!</v>
      </c>
      <c r="P41" s="366">
        <f t="shared" si="7"/>
        <v>27141.8</v>
      </c>
      <c r="Q41" s="366">
        <f t="shared" si="7"/>
        <v>26143.5</v>
      </c>
      <c r="R41" s="367">
        <f t="shared" si="7"/>
        <v>26490.099999999995</v>
      </c>
      <c r="S41" s="365">
        <f t="shared" si="7"/>
        <v>28355.499999999996</v>
      </c>
      <c r="T41" s="366">
        <f t="shared" si="7"/>
        <v>27581.1</v>
      </c>
      <c r="U41" s="366">
        <f t="shared" si="7"/>
        <v>27493.100000000002</v>
      </c>
      <c r="V41" s="367">
        <f t="shared" si="7"/>
        <v>27729.299999999996</v>
      </c>
      <c r="W41" s="365">
        <f t="shared" si="7"/>
        <v>27553.199999999997</v>
      </c>
      <c r="X41" s="366">
        <f t="shared" si="7"/>
        <v>27317.5</v>
      </c>
      <c r="Y41" s="366">
        <f t="shared" si="7"/>
        <v>26892.599999999995</v>
      </c>
      <c r="Z41" s="367">
        <f t="shared" si="7"/>
        <v>27756</v>
      </c>
      <c r="AA41" s="365">
        <f t="shared" si="7"/>
        <v>27894.399999999998</v>
      </c>
      <c r="AB41" s="366">
        <f t="shared" si="7"/>
        <v>29751.599999999999</v>
      </c>
      <c r="AC41" s="366">
        <f t="shared" si="7"/>
        <v>30395.3</v>
      </c>
      <c r="AD41" s="367">
        <f t="shared" si="7"/>
        <v>30696.800000000003</v>
      </c>
      <c r="AE41" s="365">
        <f t="shared" si="7"/>
        <v>31463.800000000003</v>
      </c>
      <c r="AF41" s="366">
        <f t="shared" si="7"/>
        <v>31359.200000000001</v>
      </c>
      <c r="AG41" s="366">
        <f t="shared" si="7"/>
        <v>31277.699999999997</v>
      </c>
      <c r="AH41" s="367">
        <f t="shared" si="7"/>
        <v>32589.599999999999</v>
      </c>
      <c r="AI41" s="365">
        <f t="shared" si="7"/>
        <v>32658.700000000004</v>
      </c>
      <c r="AJ41" s="366">
        <f t="shared" si="7"/>
        <v>32622.799999999996</v>
      </c>
      <c r="AK41" s="366">
        <f t="shared" si="7"/>
        <v>32814.1</v>
      </c>
      <c r="AL41" s="367">
        <f t="shared" si="7"/>
        <v>33115</v>
      </c>
      <c r="AM41" s="365">
        <f>AM24+AM38+AM39</f>
        <v>32954.499999999993</v>
      </c>
      <c r="AN41" s="366">
        <f>AN24+AN38+AN39</f>
        <v>32922.299999999996</v>
      </c>
      <c r="AO41" s="366">
        <f>AO24+AO38</f>
        <v>35967.399999999994</v>
      </c>
      <c r="AP41" s="367">
        <f>AP24+AP38</f>
        <v>32237</v>
      </c>
      <c r="AQ41" s="366">
        <f>AQ24+AQ38+AQ39</f>
        <v>31895.199999999997</v>
      </c>
      <c r="AR41" s="366">
        <f>AR24+AR38+AR39</f>
        <v>31814.000000000004</v>
      </c>
      <c r="AS41" s="366">
        <f>AS24+AS38</f>
        <v>31686.199999999993</v>
      </c>
      <c r="AT41" s="367">
        <f t="shared" ref="AT41:BB41" si="8">AT24+AT38+AT39</f>
        <v>32306.600000000002</v>
      </c>
      <c r="AU41" s="366">
        <f t="shared" si="8"/>
        <v>32810.6</v>
      </c>
      <c r="AV41" s="366">
        <f t="shared" si="8"/>
        <v>34698.6</v>
      </c>
      <c r="AW41" s="366">
        <f t="shared" si="8"/>
        <v>36772.300000000003</v>
      </c>
      <c r="AX41" s="367">
        <f t="shared" si="8"/>
        <v>37176.699999999997</v>
      </c>
      <c r="AY41" s="366">
        <f t="shared" si="8"/>
        <v>36560.5</v>
      </c>
      <c r="AZ41" s="366">
        <f t="shared" si="8"/>
        <v>36777.100000000006</v>
      </c>
      <c r="BA41" s="366">
        <f t="shared" si="8"/>
        <v>37178.300000000003</v>
      </c>
      <c r="BB41" s="367">
        <f t="shared" si="8"/>
        <v>37468</v>
      </c>
      <c r="BC41" s="366">
        <f t="shared" ref="BC41" si="9">BC24+BC38+BC39</f>
        <v>36520.800000000003</v>
      </c>
      <c r="BD41" s="366"/>
      <c r="BE41" s="366"/>
      <c r="BF41" s="367"/>
    </row>
    <row r="42" spans="1:58" s="372" customFormat="1" ht="38.25" customHeight="1">
      <c r="A42" s="370" t="s">
        <v>191</v>
      </c>
      <c r="B42" s="371" t="s">
        <v>192</v>
      </c>
      <c r="C42" s="400"/>
      <c r="D42" s="400"/>
      <c r="E42" s="401"/>
      <c r="F42" s="402"/>
      <c r="G42" s="400"/>
      <c r="H42" s="400"/>
      <c r="I42" s="401"/>
      <c r="J42" s="402"/>
      <c r="K42" s="400"/>
      <c r="L42" s="400"/>
      <c r="M42" s="401"/>
      <c r="N42" s="402"/>
      <c r="O42" s="400"/>
      <c r="P42" s="400"/>
      <c r="Q42" s="401"/>
      <c r="R42" s="402"/>
      <c r="S42" s="400"/>
      <c r="T42" s="400"/>
      <c r="U42" s="401"/>
      <c r="V42" s="402"/>
      <c r="W42" s="400"/>
      <c r="X42" s="400"/>
      <c r="Y42" s="401"/>
      <c r="Z42" s="402"/>
      <c r="AA42" s="400"/>
      <c r="AB42" s="400"/>
      <c r="AC42" s="401"/>
      <c r="AD42" s="402"/>
      <c r="AE42" s="400"/>
      <c r="AF42" s="400"/>
      <c r="AG42" s="401"/>
      <c r="AH42" s="402"/>
      <c r="AI42" s="400"/>
      <c r="AJ42" s="400"/>
      <c r="AK42" s="401"/>
      <c r="AL42" s="402"/>
      <c r="AM42" s="400"/>
      <c r="AN42" s="400"/>
      <c r="AO42" s="401"/>
      <c r="AP42" s="402"/>
      <c r="AQ42" s="400"/>
      <c r="AR42" s="400"/>
      <c r="AS42" s="401"/>
      <c r="AT42" s="402"/>
      <c r="AU42" s="400"/>
      <c r="AV42" s="726"/>
      <c r="AW42" s="401"/>
      <c r="AX42" s="402"/>
      <c r="AY42" s="400"/>
      <c r="AZ42" s="726"/>
      <c r="BA42" s="401"/>
      <c r="BB42" s="402"/>
      <c r="BC42" s="400"/>
      <c r="BD42" s="726"/>
      <c r="BE42" s="401"/>
      <c r="BF42" s="402"/>
    </row>
    <row r="43" spans="1:58" s="7" customFormat="1" ht="20.149999999999999" customHeight="1">
      <c r="A43" s="27" t="s">
        <v>193</v>
      </c>
      <c r="B43" s="105" t="s">
        <v>194</v>
      </c>
      <c r="C43" s="41">
        <f>13.934</f>
        <v>13.933999999999999</v>
      </c>
      <c r="D43" s="41">
        <f t="shared" ref="D43:K43" si="10">(13934)*0.001</f>
        <v>13.934000000000001</v>
      </c>
      <c r="E43" s="41">
        <f t="shared" si="10"/>
        <v>13.934000000000001</v>
      </c>
      <c r="F43" s="209">
        <f t="shared" si="10"/>
        <v>13.934000000000001</v>
      </c>
      <c r="G43" s="210">
        <f t="shared" si="10"/>
        <v>13.934000000000001</v>
      </c>
      <c r="H43" s="210">
        <f t="shared" si="10"/>
        <v>13.934000000000001</v>
      </c>
      <c r="I43" s="210">
        <f t="shared" si="10"/>
        <v>13.934000000000001</v>
      </c>
      <c r="J43" s="210">
        <f t="shared" si="10"/>
        <v>13.934000000000001</v>
      </c>
      <c r="K43" s="222">
        <f t="shared" si="10"/>
        <v>13.934000000000001</v>
      </c>
      <c r="L43" s="208">
        <v>25.6</v>
      </c>
      <c r="M43" s="208">
        <v>25.6</v>
      </c>
      <c r="N43" s="215">
        <v>25.6</v>
      </c>
      <c r="O43" s="218">
        <v>25.6</v>
      </c>
      <c r="P43" s="218">
        <v>25.6</v>
      </c>
      <c r="Q43" s="218">
        <v>25.6</v>
      </c>
      <c r="R43" s="191">
        <v>25.6</v>
      </c>
      <c r="S43" s="190">
        <v>25.6</v>
      </c>
      <c r="T43" s="190">
        <v>25.6</v>
      </c>
      <c r="U43" s="190">
        <v>25.6</v>
      </c>
      <c r="V43" s="191">
        <v>25.6</v>
      </c>
      <c r="W43" s="190">
        <v>25.6</v>
      </c>
      <c r="X43" s="190">
        <v>25.6</v>
      </c>
      <c r="Y43" s="190">
        <v>25.6</v>
      </c>
      <c r="Z43" s="191">
        <v>25.6</v>
      </c>
      <c r="AA43" s="190">
        <v>25.6</v>
      </c>
      <c r="AB43" s="190">
        <v>25.6</v>
      </c>
      <c r="AC43" s="190">
        <v>25.6</v>
      </c>
      <c r="AD43" s="191">
        <v>25.6</v>
      </c>
      <c r="AE43" s="190">
        <v>25.6</v>
      </c>
      <c r="AF43" s="190">
        <v>25.6</v>
      </c>
      <c r="AG43" s="190">
        <v>25.6</v>
      </c>
      <c r="AH43" s="191">
        <v>25.6</v>
      </c>
      <c r="AI43" s="190">
        <v>25.6</v>
      </c>
      <c r="AJ43" s="190">
        <v>25.6</v>
      </c>
      <c r="AK43" s="190">
        <v>25.6</v>
      </c>
      <c r="AL43" s="191">
        <v>25.6</v>
      </c>
      <c r="AM43" s="190">
        <v>25.6</v>
      </c>
      <c r="AN43" s="190">
        <v>25.6</v>
      </c>
      <c r="AO43" s="190">
        <v>25.6</v>
      </c>
      <c r="AP43" s="191">
        <v>25.6</v>
      </c>
      <c r="AQ43" s="190">
        <v>25.6</v>
      </c>
      <c r="AR43" s="190">
        <v>25.6</v>
      </c>
      <c r="AS43" s="190">
        <v>25.6</v>
      </c>
      <c r="AT43" s="690">
        <v>25.6</v>
      </c>
      <c r="AU43" s="190">
        <v>25.6</v>
      </c>
      <c r="AV43" s="190">
        <v>25.6</v>
      </c>
      <c r="AW43" s="190">
        <v>25.6</v>
      </c>
      <c r="AX43" s="690">
        <v>25.6</v>
      </c>
      <c r="AY43" s="190">
        <v>25.6</v>
      </c>
      <c r="AZ43" s="190">
        <v>25.6</v>
      </c>
      <c r="BA43" s="190">
        <v>25.6</v>
      </c>
      <c r="BB43" s="690">
        <v>25.6</v>
      </c>
      <c r="BC43" s="190">
        <v>25.6</v>
      </c>
      <c r="BD43" s="190"/>
      <c r="BE43" s="190"/>
      <c r="BF43" s="690"/>
    </row>
    <row r="44" spans="1:58" s="7" customFormat="1" ht="20.149999999999999" customHeight="1">
      <c r="A44" s="27" t="s">
        <v>195</v>
      </c>
      <c r="B44" s="105" t="s">
        <v>196</v>
      </c>
      <c r="C44" s="41">
        <f>432.265</f>
        <v>432.26499999999999</v>
      </c>
      <c r="D44" s="24">
        <v>0</v>
      </c>
      <c r="E44" s="24">
        <v>0</v>
      </c>
      <c r="F44" s="201">
        <v>0</v>
      </c>
      <c r="G44" s="202">
        <v>0</v>
      </c>
      <c r="H44" s="202">
        <v>0</v>
      </c>
      <c r="I44" s="202">
        <v>0</v>
      </c>
      <c r="J44" s="202">
        <v>0</v>
      </c>
      <c r="K44" s="203">
        <v>0</v>
      </c>
      <c r="L44" s="202">
        <v>0</v>
      </c>
      <c r="M44" s="202">
        <v>0</v>
      </c>
      <c r="N44" s="201">
        <v>0</v>
      </c>
      <c r="O44" s="202">
        <v>0</v>
      </c>
      <c r="P44" s="202">
        <v>0</v>
      </c>
      <c r="Q44" s="202">
        <v>0</v>
      </c>
      <c r="R44" s="191">
        <v>0</v>
      </c>
      <c r="S44" s="192">
        <v>0</v>
      </c>
      <c r="T44" s="192">
        <v>0</v>
      </c>
      <c r="U44" s="192">
        <v>0</v>
      </c>
      <c r="V44" s="191">
        <v>0</v>
      </c>
      <c r="W44" s="192">
        <v>0</v>
      </c>
      <c r="X44" s="192">
        <v>0</v>
      </c>
      <c r="Y44" s="192">
        <v>0</v>
      </c>
      <c r="Z44" s="191">
        <v>0</v>
      </c>
      <c r="AA44" s="192">
        <v>0</v>
      </c>
      <c r="AB44" s="192">
        <v>0</v>
      </c>
      <c r="AC44" s="192">
        <v>0</v>
      </c>
      <c r="AD44" s="191">
        <v>0</v>
      </c>
      <c r="AE44" s="192">
        <v>0</v>
      </c>
      <c r="AF44" s="192">
        <v>0</v>
      </c>
      <c r="AG44" s="192">
        <v>0</v>
      </c>
      <c r="AH44" s="191">
        <v>0</v>
      </c>
      <c r="AI44" s="192">
        <v>0</v>
      </c>
      <c r="AJ44" s="192">
        <v>0</v>
      </c>
      <c r="AK44" s="192">
        <v>0</v>
      </c>
      <c r="AL44" s="191">
        <v>0</v>
      </c>
      <c r="AM44" s="192">
        <v>0</v>
      </c>
      <c r="AN44" s="192">
        <v>0</v>
      </c>
      <c r="AO44" s="192">
        <v>0</v>
      </c>
      <c r="AP44" s="191">
        <v>0</v>
      </c>
      <c r="AQ44" s="192">
        <v>0</v>
      </c>
      <c r="AR44" s="192">
        <v>0</v>
      </c>
      <c r="AS44" s="192">
        <v>0</v>
      </c>
      <c r="AT44" s="690">
        <v>0</v>
      </c>
      <c r="AU44" s="192">
        <v>0</v>
      </c>
      <c r="AV44" s="192">
        <v>0</v>
      </c>
      <c r="AW44" s="190">
        <v>0</v>
      </c>
      <c r="AX44" s="690">
        <v>0</v>
      </c>
      <c r="AY44" s="192" t="s">
        <v>197</v>
      </c>
      <c r="AZ44" s="192">
        <v>0</v>
      </c>
      <c r="BA44" s="192">
        <v>0</v>
      </c>
      <c r="BB44" s="690">
        <v>0</v>
      </c>
      <c r="BC44" s="192">
        <v>0</v>
      </c>
      <c r="BD44" s="192"/>
      <c r="BE44" s="192"/>
      <c r="BF44" s="690"/>
    </row>
    <row r="45" spans="1:58" s="7" customFormat="1" ht="20.149999999999999" customHeight="1">
      <c r="A45" s="27" t="s">
        <v>198</v>
      </c>
      <c r="B45" s="105" t="s">
        <v>199</v>
      </c>
      <c r="C45" s="41">
        <f>1305.277</f>
        <v>1305.277</v>
      </c>
      <c r="D45" s="24">
        <v>0</v>
      </c>
      <c r="E45" s="24">
        <v>0</v>
      </c>
      <c r="F45" s="201">
        <v>0</v>
      </c>
      <c r="G45" s="202">
        <v>0</v>
      </c>
      <c r="H45" s="202">
        <v>0</v>
      </c>
      <c r="I45" s="202">
        <v>0</v>
      </c>
      <c r="J45" s="202">
        <v>0</v>
      </c>
      <c r="K45" s="203">
        <v>0</v>
      </c>
      <c r="L45" s="202">
        <v>0</v>
      </c>
      <c r="M45" s="202">
        <v>0</v>
      </c>
      <c r="N45" s="201">
        <v>0</v>
      </c>
      <c r="O45" s="202">
        <v>0</v>
      </c>
      <c r="P45" s="202">
        <v>0</v>
      </c>
      <c r="Q45" s="202">
        <v>0</v>
      </c>
      <c r="R45" s="191">
        <v>0</v>
      </c>
      <c r="S45" s="192">
        <v>0</v>
      </c>
      <c r="T45" s="192">
        <v>0</v>
      </c>
      <c r="U45" s="192">
        <v>0</v>
      </c>
      <c r="V45" s="191">
        <v>0</v>
      </c>
      <c r="W45" s="192">
        <v>0</v>
      </c>
      <c r="X45" s="192">
        <v>0</v>
      </c>
      <c r="Y45" s="192">
        <v>0</v>
      </c>
      <c r="Z45" s="191">
        <v>0</v>
      </c>
      <c r="AA45" s="192">
        <v>0</v>
      </c>
      <c r="AB45" s="192">
        <v>0</v>
      </c>
      <c r="AC45" s="192">
        <v>0</v>
      </c>
      <c r="AD45" s="191">
        <v>0</v>
      </c>
      <c r="AE45" s="192">
        <v>0</v>
      </c>
      <c r="AF45" s="192">
        <v>0</v>
      </c>
      <c r="AG45" s="192">
        <v>0</v>
      </c>
      <c r="AH45" s="191">
        <v>0</v>
      </c>
      <c r="AI45" s="192">
        <v>0</v>
      </c>
      <c r="AJ45" s="192">
        <v>0</v>
      </c>
      <c r="AK45" s="192">
        <v>0</v>
      </c>
      <c r="AL45" s="191">
        <v>0</v>
      </c>
      <c r="AM45" s="192">
        <v>0</v>
      </c>
      <c r="AN45" s="192">
        <v>0</v>
      </c>
      <c r="AO45" s="192">
        <v>0</v>
      </c>
      <c r="AP45" s="191">
        <v>0</v>
      </c>
      <c r="AQ45" s="192">
        <v>0</v>
      </c>
      <c r="AR45" s="192">
        <v>0</v>
      </c>
      <c r="AS45" s="192">
        <v>0</v>
      </c>
      <c r="AT45" s="690">
        <v>0</v>
      </c>
      <c r="AU45" s="192">
        <v>0</v>
      </c>
      <c r="AV45" s="192">
        <v>0</v>
      </c>
      <c r="AW45" s="192">
        <v>0</v>
      </c>
      <c r="AX45" s="690">
        <v>0</v>
      </c>
      <c r="AY45" s="192" t="s">
        <v>197</v>
      </c>
      <c r="AZ45" s="192">
        <v>0</v>
      </c>
      <c r="BA45" s="192">
        <v>0</v>
      </c>
      <c r="BB45" s="690">
        <v>0</v>
      </c>
      <c r="BC45" s="192">
        <v>0</v>
      </c>
      <c r="BD45" s="192"/>
      <c r="BE45" s="192"/>
      <c r="BF45" s="690"/>
    </row>
    <row r="46" spans="1:58" s="7" customFormat="1" ht="20.149999999999999" customHeight="1">
      <c r="A46" s="27" t="s">
        <v>200</v>
      </c>
      <c r="B46" s="105" t="s">
        <v>201</v>
      </c>
      <c r="C46" s="24">
        <v>0</v>
      </c>
      <c r="D46" s="17">
        <f t="shared" ref="D46:K46" si="11">(1295103)*0.001</f>
        <v>1295.1030000000001</v>
      </c>
      <c r="E46" s="17">
        <f t="shared" si="11"/>
        <v>1295.1030000000001</v>
      </c>
      <c r="F46" s="204">
        <f t="shared" si="11"/>
        <v>1295.1030000000001</v>
      </c>
      <c r="G46" s="205">
        <f t="shared" si="11"/>
        <v>1295.1030000000001</v>
      </c>
      <c r="H46" s="205">
        <f t="shared" si="11"/>
        <v>1295.1030000000001</v>
      </c>
      <c r="I46" s="205">
        <f t="shared" si="11"/>
        <v>1295.1030000000001</v>
      </c>
      <c r="J46" s="204">
        <f t="shared" si="11"/>
        <v>1295.1030000000001</v>
      </c>
      <c r="K46" s="205">
        <f t="shared" si="11"/>
        <v>1295.1030000000001</v>
      </c>
      <c r="L46" s="206">
        <v>7237.5</v>
      </c>
      <c r="M46" s="206">
        <v>7237.5</v>
      </c>
      <c r="N46" s="207">
        <v>7174</v>
      </c>
      <c r="O46" s="208">
        <v>7237.4</v>
      </c>
      <c r="P46" s="208">
        <v>7174</v>
      </c>
      <c r="Q46" s="208">
        <v>7174</v>
      </c>
      <c r="R46" s="191">
        <v>7174</v>
      </c>
      <c r="S46" s="190">
        <v>7174</v>
      </c>
      <c r="T46" s="190">
        <v>7174</v>
      </c>
      <c r="U46" s="190">
        <v>7174</v>
      </c>
      <c r="V46" s="191">
        <v>7174</v>
      </c>
      <c r="W46" s="190">
        <v>7174</v>
      </c>
      <c r="X46" s="190">
        <v>7174</v>
      </c>
      <c r="Y46" s="190">
        <v>7174</v>
      </c>
      <c r="Z46" s="191">
        <v>7174</v>
      </c>
      <c r="AA46" s="190">
        <v>7174</v>
      </c>
      <c r="AB46" s="190">
        <v>7174</v>
      </c>
      <c r="AC46" s="190">
        <v>7174</v>
      </c>
      <c r="AD46" s="191">
        <v>7174</v>
      </c>
      <c r="AE46" s="190">
        <v>7174</v>
      </c>
      <c r="AF46" s="190">
        <v>7174</v>
      </c>
      <c r="AG46" s="190">
        <v>7174</v>
      </c>
      <c r="AH46" s="191">
        <v>7174</v>
      </c>
      <c r="AI46" s="190">
        <v>7174</v>
      </c>
      <c r="AJ46" s="190">
        <v>7174</v>
      </c>
      <c r="AK46" s="190">
        <v>7174</v>
      </c>
      <c r="AL46" s="191">
        <v>7174</v>
      </c>
      <c r="AM46" s="190">
        <v>7174</v>
      </c>
      <c r="AN46" s="190">
        <v>7174</v>
      </c>
      <c r="AO46" s="190">
        <v>7174</v>
      </c>
      <c r="AP46" s="191">
        <v>7174</v>
      </c>
      <c r="AQ46" s="190">
        <v>7174</v>
      </c>
      <c r="AR46" s="190">
        <v>7174</v>
      </c>
      <c r="AS46" s="190">
        <v>7174</v>
      </c>
      <c r="AT46" s="690">
        <v>7174</v>
      </c>
      <c r="AU46" s="190">
        <v>7174</v>
      </c>
      <c r="AV46" s="190">
        <v>7174</v>
      </c>
      <c r="AW46" s="190">
        <v>7174</v>
      </c>
      <c r="AX46" s="690">
        <v>7174</v>
      </c>
      <c r="AY46" s="190">
        <v>7174</v>
      </c>
      <c r="AZ46" s="190">
        <v>7174</v>
      </c>
      <c r="BA46" s="190">
        <v>7174</v>
      </c>
      <c r="BB46" s="690">
        <v>7174</v>
      </c>
      <c r="BC46" s="192">
        <v>7174</v>
      </c>
      <c r="BD46" s="190"/>
      <c r="BE46" s="190"/>
      <c r="BF46" s="690"/>
    </row>
    <row r="47" spans="1:58" s="7" customFormat="1" ht="20.149999999999999" customHeight="1">
      <c r="A47" s="27" t="s">
        <v>202</v>
      </c>
      <c r="B47" s="105" t="s">
        <v>203</v>
      </c>
      <c r="C47" s="43">
        <f>-3.17</f>
        <v>-3.17</v>
      </c>
      <c r="D47" s="24">
        <v>0</v>
      </c>
      <c r="E47" s="24">
        <v>0</v>
      </c>
      <c r="F47" s="201">
        <v>0</v>
      </c>
      <c r="G47" s="202">
        <v>0</v>
      </c>
      <c r="H47" s="202">
        <v>0</v>
      </c>
      <c r="I47" s="202">
        <v>0</v>
      </c>
      <c r="J47" s="202">
        <v>0</v>
      </c>
      <c r="K47" s="203">
        <v>0</v>
      </c>
      <c r="L47" s="202">
        <v>0</v>
      </c>
      <c r="M47" s="202">
        <v>0</v>
      </c>
      <c r="N47" s="201">
        <v>0</v>
      </c>
      <c r="O47" s="202">
        <v>0</v>
      </c>
      <c r="P47" s="202">
        <v>0</v>
      </c>
      <c r="Q47" s="202">
        <v>0</v>
      </c>
      <c r="R47" s="191">
        <v>0</v>
      </c>
      <c r="S47" s="192">
        <v>0</v>
      </c>
      <c r="T47" s="192">
        <v>0</v>
      </c>
      <c r="U47" s="192">
        <v>0</v>
      </c>
      <c r="V47" s="191">
        <v>0</v>
      </c>
      <c r="W47" s="192">
        <v>0</v>
      </c>
      <c r="X47" s="192">
        <v>0</v>
      </c>
      <c r="Y47" s="192">
        <v>0</v>
      </c>
      <c r="Z47" s="191">
        <v>0</v>
      </c>
      <c r="AA47" s="192">
        <v>0</v>
      </c>
      <c r="AB47" s="192">
        <v>0</v>
      </c>
      <c r="AC47" s="192">
        <v>0</v>
      </c>
      <c r="AD47" s="191">
        <v>0</v>
      </c>
      <c r="AE47" s="192">
        <v>0</v>
      </c>
      <c r="AF47" s="192">
        <v>0</v>
      </c>
      <c r="AG47" s="192">
        <v>0</v>
      </c>
      <c r="AH47" s="191">
        <v>0</v>
      </c>
      <c r="AI47" s="192">
        <v>0</v>
      </c>
      <c r="AJ47" s="192">
        <v>0</v>
      </c>
      <c r="AK47" s="192">
        <v>0</v>
      </c>
      <c r="AL47" s="191">
        <v>0</v>
      </c>
      <c r="AM47" s="192">
        <v>0</v>
      </c>
      <c r="AN47" s="192">
        <v>0</v>
      </c>
      <c r="AO47" s="192">
        <v>0</v>
      </c>
      <c r="AP47" s="191">
        <v>0</v>
      </c>
      <c r="AQ47" s="192">
        <v>0</v>
      </c>
      <c r="AR47" s="192">
        <v>0</v>
      </c>
      <c r="AS47" s="192">
        <v>0</v>
      </c>
      <c r="AT47" s="690">
        <v>0</v>
      </c>
      <c r="AU47" s="192">
        <v>0</v>
      </c>
      <c r="AV47" s="192">
        <v>0</v>
      </c>
      <c r="AW47" s="192">
        <v>0</v>
      </c>
      <c r="AX47" s="690">
        <v>0</v>
      </c>
      <c r="AY47" s="192" t="s">
        <v>197</v>
      </c>
      <c r="AZ47" s="192">
        <v>0</v>
      </c>
      <c r="BA47" s="192">
        <v>0</v>
      </c>
      <c r="BB47" s="690">
        <v>0</v>
      </c>
      <c r="BC47" s="192">
        <v>0</v>
      </c>
      <c r="BD47" s="192"/>
      <c r="BE47" s="192"/>
      <c r="BF47" s="690"/>
    </row>
    <row r="48" spans="1:58" s="7" customFormat="1" ht="20.149999999999999" customHeight="1">
      <c r="A48" s="27" t="s">
        <v>204</v>
      </c>
      <c r="B48" s="105" t="s">
        <v>205</v>
      </c>
      <c r="C48" s="41">
        <f>2.396</f>
        <v>2.3959999999999999</v>
      </c>
      <c r="D48" s="24">
        <v>0</v>
      </c>
      <c r="E48" s="24">
        <v>0</v>
      </c>
      <c r="F48" s="201">
        <v>0</v>
      </c>
      <c r="G48" s="202">
        <v>0</v>
      </c>
      <c r="H48" s="202">
        <v>0</v>
      </c>
      <c r="I48" s="202">
        <v>0</v>
      </c>
      <c r="J48" s="202">
        <v>0</v>
      </c>
      <c r="K48" s="203">
        <v>0</v>
      </c>
      <c r="L48" s="202">
        <v>0</v>
      </c>
      <c r="M48" s="202">
        <v>0</v>
      </c>
      <c r="N48" s="201">
        <v>0</v>
      </c>
      <c r="O48" s="202">
        <v>0</v>
      </c>
      <c r="P48" s="202">
        <v>0</v>
      </c>
      <c r="Q48" s="202">
        <v>0</v>
      </c>
      <c r="R48" s="191">
        <v>0</v>
      </c>
      <c r="S48" s="192">
        <v>0</v>
      </c>
      <c r="T48" s="192">
        <v>0</v>
      </c>
      <c r="U48" s="192">
        <v>0</v>
      </c>
      <c r="V48" s="191">
        <v>0</v>
      </c>
      <c r="W48" s="192">
        <v>0</v>
      </c>
      <c r="X48" s="192">
        <v>0</v>
      </c>
      <c r="Y48" s="192">
        <v>0</v>
      </c>
      <c r="Z48" s="191">
        <v>0</v>
      </c>
      <c r="AA48" s="192">
        <v>0</v>
      </c>
      <c r="AB48" s="192">
        <v>0</v>
      </c>
      <c r="AC48" s="192">
        <v>0</v>
      </c>
      <c r="AD48" s="191">
        <v>0</v>
      </c>
      <c r="AE48" s="192">
        <v>0</v>
      </c>
      <c r="AF48" s="192">
        <v>0</v>
      </c>
      <c r="AG48" s="192">
        <v>0</v>
      </c>
      <c r="AH48" s="191">
        <v>0</v>
      </c>
      <c r="AI48" s="192">
        <v>0</v>
      </c>
      <c r="AJ48" s="192">
        <v>0</v>
      </c>
      <c r="AK48" s="192">
        <v>0</v>
      </c>
      <c r="AL48" s="191">
        <v>0</v>
      </c>
      <c r="AM48" s="192">
        <v>0</v>
      </c>
      <c r="AN48" s="192">
        <v>0</v>
      </c>
      <c r="AO48" s="192">
        <v>0</v>
      </c>
      <c r="AP48" s="191">
        <v>0</v>
      </c>
      <c r="AQ48" s="192">
        <v>0</v>
      </c>
      <c r="AR48" s="192">
        <v>0</v>
      </c>
      <c r="AS48" s="192">
        <v>0</v>
      </c>
      <c r="AT48" s="690">
        <v>0</v>
      </c>
      <c r="AU48" s="192">
        <v>0</v>
      </c>
      <c r="AV48" s="192">
        <v>0</v>
      </c>
      <c r="AW48" s="192">
        <v>0</v>
      </c>
      <c r="AX48" s="690">
        <v>0</v>
      </c>
      <c r="AY48" s="192" t="s">
        <v>197</v>
      </c>
      <c r="AZ48" s="192">
        <v>0</v>
      </c>
      <c r="BA48" s="192">
        <v>0</v>
      </c>
      <c r="BB48" s="690">
        <v>0</v>
      </c>
      <c r="BC48" s="190">
        <v>0</v>
      </c>
      <c r="BD48" s="192"/>
      <c r="BE48" s="192"/>
      <c r="BF48" s="690"/>
    </row>
    <row r="49" spans="1:59" s="7" customFormat="1" ht="20.149999999999999" customHeight="1">
      <c r="A49" s="27" t="s">
        <v>206</v>
      </c>
      <c r="B49" s="108" t="s">
        <v>207</v>
      </c>
      <c r="C49" s="41"/>
      <c r="D49" s="24"/>
      <c r="E49" s="24"/>
      <c r="F49" s="201"/>
      <c r="G49" s="202"/>
      <c r="H49" s="202"/>
      <c r="I49" s="202"/>
      <c r="J49" s="202"/>
      <c r="K49" s="203"/>
      <c r="L49" s="202"/>
      <c r="M49" s="202"/>
      <c r="N49" s="201"/>
      <c r="O49" s="202"/>
      <c r="P49" s="202"/>
      <c r="Q49" s="202"/>
      <c r="R49" s="191"/>
      <c r="S49" s="192"/>
      <c r="T49" s="192"/>
      <c r="U49" s="192"/>
      <c r="V49" s="191"/>
      <c r="W49" s="192"/>
      <c r="X49" s="192"/>
      <c r="Y49" s="192"/>
      <c r="Z49" s="191"/>
      <c r="AA49" s="192"/>
      <c r="AB49" s="192"/>
      <c r="AC49" s="192"/>
      <c r="AD49" s="191"/>
      <c r="AE49" s="192"/>
      <c r="AF49" s="192"/>
      <c r="AG49" s="192"/>
      <c r="AH49" s="191"/>
      <c r="AI49" s="192"/>
      <c r="AJ49" s="192">
        <v>17.100000000000001</v>
      </c>
      <c r="AK49" s="192">
        <v>17.100000000000001</v>
      </c>
      <c r="AL49" s="191">
        <v>21.2</v>
      </c>
      <c r="AM49" s="192">
        <v>21.2</v>
      </c>
      <c r="AN49" s="192">
        <v>21.3</v>
      </c>
      <c r="AO49" s="192">
        <v>21.4</v>
      </c>
      <c r="AP49" s="191">
        <v>32.1</v>
      </c>
      <c r="AQ49" s="192">
        <v>32.200000000000003</v>
      </c>
      <c r="AR49" s="192">
        <v>41.7</v>
      </c>
      <c r="AS49" s="192">
        <v>56.6</v>
      </c>
      <c r="AT49" s="690">
        <v>51.9</v>
      </c>
      <c r="AU49" s="192">
        <v>52</v>
      </c>
      <c r="AV49" s="192">
        <v>45.8</v>
      </c>
      <c r="AW49" s="192">
        <v>0</v>
      </c>
      <c r="AX49" s="690">
        <v>0</v>
      </c>
      <c r="AY49" s="192">
        <v>-0.1</v>
      </c>
      <c r="AZ49" s="192">
        <v>-0.1</v>
      </c>
      <c r="BA49" s="192">
        <v>-0.1</v>
      </c>
      <c r="BB49" s="690">
        <v>0</v>
      </c>
      <c r="BC49" s="192">
        <v>0.1</v>
      </c>
      <c r="BD49" s="192"/>
      <c r="BE49" s="192"/>
      <c r="BF49" s="690"/>
    </row>
    <row r="50" spans="1:59" s="7" customFormat="1" ht="20.149999999999999" customHeight="1">
      <c r="A50" s="27" t="s">
        <v>208</v>
      </c>
      <c r="B50" s="105" t="s">
        <v>199</v>
      </c>
      <c r="C50" s="24">
        <v>0</v>
      </c>
      <c r="D50" s="41">
        <f>(1225)*0.001</f>
        <v>1.2250000000000001</v>
      </c>
      <c r="E50" s="43">
        <f>(-8191)*0.001</f>
        <v>-8.1910000000000007</v>
      </c>
      <c r="F50" s="232">
        <f>(-16327)*0.001</f>
        <v>-16.327000000000002</v>
      </c>
      <c r="G50" s="43">
        <f>(-17667)*0.001</f>
        <v>-17.667000000000002</v>
      </c>
      <c r="H50" s="43">
        <f>(-13285)*0.001</f>
        <v>-13.285</v>
      </c>
      <c r="I50" s="43">
        <f>(-11455)*0.001</f>
        <v>-11.455</v>
      </c>
      <c r="J50" s="232">
        <f>(-8964)*0.001</f>
        <v>-8.9640000000000004</v>
      </c>
      <c r="K50" s="203">
        <v>0</v>
      </c>
      <c r="L50" s="202">
        <v>0</v>
      </c>
      <c r="M50" s="211">
        <v>-9.1999999999999993</v>
      </c>
      <c r="N50" s="212">
        <v>-12.2</v>
      </c>
      <c r="O50" s="211">
        <v>-12.7</v>
      </c>
      <c r="P50" s="211">
        <v>-7.9</v>
      </c>
      <c r="Q50" s="211">
        <v>-8.1999999999999993</v>
      </c>
      <c r="R50" s="191">
        <v>-3.7</v>
      </c>
      <c r="S50" s="193">
        <v>-1.7</v>
      </c>
      <c r="T50" s="193">
        <v>0.1</v>
      </c>
      <c r="U50" s="193">
        <v>2.2000000000000002</v>
      </c>
      <c r="V50" s="191">
        <v>4.5</v>
      </c>
      <c r="W50" s="193">
        <v>3.8</v>
      </c>
      <c r="X50" s="193">
        <v>3.6</v>
      </c>
      <c r="Y50" s="193">
        <v>3.5</v>
      </c>
      <c r="Z50" s="191">
        <v>3.2</v>
      </c>
      <c r="AA50" s="193">
        <v>2.8</v>
      </c>
      <c r="AB50" s="193">
        <v>-204.3</v>
      </c>
      <c r="AC50" s="190">
        <v>-204.1</v>
      </c>
      <c r="AD50" s="191">
        <v>-162.5</v>
      </c>
      <c r="AE50" s="193">
        <v>-162.4</v>
      </c>
      <c r="AF50" s="193">
        <v>3.3</v>
      </c>
      <c r="AG50" s="190">
        <v>3.4</v>
      </c>
      <c r="AH50" s="191">
        <v>1.5</v>
      </c>
      <c r="AI50" s="193">
        <v>-4.8</v>
      </c>
      <c r="AJ50" s="193">
        <v>-7.2</v>
      </c>
      <c r="AK50" s="190">
        <v>-7.4</v>
      </c>
      <c r="AL50" s="191">
        <v>99.7</v>
      </c>
      <c r="AM50" s="193">
        <v>-4.3</v>
      </c>
      <c r="AN50" s="190">
        <v>-22.1</v>
      </c>
      <c r="AO50" s="190">
        <v>-126.3</v>
      </c>
      <c r="AP50" s="191">
        <v>2801.3</v>
      </c>
      <c r="AQ50" s="190">
        <v>2812.1</v>
      </c>
      <c r="AR50" s="668">
        <v>2827.1</v>
      </c>
      <c r="AS50" s="190">
        <v>2827.1</v>
      </c>
      <c r="AT50" s="690">
        <v>2815.9</v>
      </c>
      <c r="AU50" s="190">
        <v>2806</v>
      </c>
      <c r="AV50" s="486">
        <v>2795.5</v>
      </c>
      <c r="AW50" s="190">
        <v>2776.7</v>
      </c>
      <c r="AX50" s="690">
        <v>2752.8</v>
      </c>
      <c r="AY50" s="190">
        <v>2755.7</v>
      </c>
      <c r="AZ50" s="486">
        <v>2794.9</v>
      </c>
      <c r="BA50" s="486">
        <v>2785.3</v>
      </c>
      <c r="BB50" s="690">
        <v>2790.8</v>
      </c>
      <c r="BC50" s="190">
        <v>2776.5</v>
      </c>
      <c r="BD50" s="486"/>
      <c r="BE50" s="486"/>
      <c r="BF50" s="690"/>
    </row>
    <row r="51" spans="1:59" s="7" customFormat="1" ht="20.149999999999999" customHeight="1">
      <c r="A51" s="27" t="s">
        <v>209</v>
      </c>
      <c r="B51" s="105" t="s">
        <v>210</v>
      </c>
      <c r="C51" s="41">
        <f>340.065</f>
        <v>340.065</v>
      </c>
      <c r="D51" s="41">
        <f>(882007)*0.001</f>
        <v>882.00700000000006</v>
      </c>
      <c r="E51" s="44">
        <f>(1054069)*0.001</f>
        <v>1054.069</v>
      </c>
      <c r="F51" s="213">
        <f>(1175693)*0.001</f>
        <v>1175.693</v>
      </c>
      <c r="G51" s="214">
        <f>(1270798)*0.001</f>
        <v>1270.798</v>
      </c>
      <c r="H51" s="214">
        <f>(1351543)*0.001</f>
        <v>1351.5430000000001</v>
      </c>
      <c r="I51" s="214">
        <f>(1527994)*0.001</f>
        <v>1527.9940000000001</v>
      </c>
      <c r="J51" s="213">
        <f>(1701138)*0.001</f>
        <v>1701.1380000000001</v>
      </c>
      <c r="K51" s="214">
        <f>(1799310)*0.001</f>
        <v>1799.31</v>
      </c>
      <c r="L51" s="206">
        <v>1828.6</v>
      </c>
      <c r="M51" s="206">
        <v>1876.8</v>
      </c>
      <c r="N51" s="215">
        <v>1890.8</v>
      </c>
      <c r="O51" s="206">
        <v>2061.6</v>
      </c>
      <c r="P51" s="206">
        <v>2366.1</v>
      </c>
      <c r="Q51" s="206">
        <v>2868.6</v>
      </c>
      <c r="R51" s="191">
        <v>3054.2</v>
      </c>
      <c r="S51" s="193">
        <v>3229.7</v>
      </c>
      <c r="T51" s="193">
        <v>3467.4</v>
      </c>
      <c r="U51" s="193">
        <v>3745.6</v>
      </c>
      <c r="V51" s="191">
        <v>4095.5</v>
      </c>
      <c r="W51" s="193">
        <v>4374.8999999999996</v>
      </c>
      <c r="X51" s="193">
        <v>4461.3999999999996</v>
      </c>
      <c r="Y51" s="193">
        <v>4704.3</v>
      </c>
      <c r="Z51" s="191">
        <v>4871.3999999999996</v>
      </c>
      <c r="AA51" s="193">
        <v>5668.6</v>
      </c>
      <c r="AB51" s="193">
        <v>5904.4</v>
      </c>
      <c r="AC51" s="190">
        <v>6130.5</v>
      </c>
      <c r="AD51" s="191">
        <v>6189.9</v>
      </c>
      <c r="AE51" s="193">
        <v>6481.8</v>
      </c>
      <c r="AF51" s="193">
        <v>6065.1</v>
      </c>
      <c r="AG51" s="190">
        <v>6296.4</v>
      </c>
      <c r="AH51" s="191">
        <v>6610.2</v>
      </c>
      <c r="AI51" s="193">
        <v>6792.6</v>
      </c>
      <c r="AJ51" s="193">
        <v>7081</v>
      </c>
      <c r="AK51" s="190">
        <v>6787.4</v>
      </c>
      <c r="AL51" s="191">
        <v>7112.3</v>
      </c>
      <c r="AM51" s="190">
        <v>7501.9</v>
      </c>
      <c r="AN51" s="190">
        <v>7273.7</v>
      </c>
      <c r="AO51" s="190">
        <v>10416.1</v>
      </c>
      <c r="AP51" s="191">
        <v>7823.6</v>
      </c>
      <c r="AQ51" s="190">
        <v>8038.5</v>
      </c>
      <c r="AR51" s="668">
        <v>7671</v>
      </c>
      <c r="AS51" s="680">
        <v>7899.7</v>
      </c>
      <c r="AT51" s="690">
        <v>8057.6</v>
      </c>
      <c r="AU51" s="190">
        <v>8122.1</v>
      </c>
      <c r="AV51" s="486">
        <v>8114.8</v>
      </c>
      <c r="AW51" s="190">
        <v>8233.6</v>
      </c>
      <c r="AX51" s="690">
        <v>8334.1</v>
      </c>
      <c r="AY51" s="190">
        <v>8514.2000000000007</v>
      </c>
      <c r="AZ51" s="486">
        <v>8660.6</v>
      </c>
      <c r="BA51" s="486">
        <v>8909.5</v>
      </c>
      <c r="BB51" s="690">
        <v>8987.4</v>
      </c>
      <c r="BC51" s="190">
        <v>9070</v>
      </c>
      <c r="BD51" s="486"/>
      <c r="BE51" s="486"/>
      <c r="BF51" s="690"/>
    </row>
    <row r="52" spans="1:59" ht="20.149999999999999" customHeight="1" thickBot="1">
      <c r="A52" s="638" t="s">
        <v>211</v>
      </c>
      <c r="B52" s="108" t="s">
        <v>212</v>
      </c>
      <c r="C52" s="210"/>
      <c r="D52" s="210"/>
      <c r="E52" s="214"/>
      <c r="F52" s="213"/>
      <c r="G52" s="214"/>
      <c r="H52" s="214"/>
      <c r="I52" s="214"/>
      <c r="J52" s="213"/>
      <c r="K52" s="214"/>
      <c r="L52" s="206"/>
      <c r="M52" s="206"/>
      <c r="N52" s="215"/>
      <c r="O52" s="206"/>
      <c r="P52" s="206"/>
      <c r="Q52" s="206"/>
      <c r="R52" s="191"/>
      <c r="S52" s="193"/>
      <c r="T52" s="193"/>
      <c r="U52" s="193"/>
      <c r="V52" s="191"/>
      <c r="W52" s="193"/>
      <c r="X52" s="193"/>
      <c r="Y52" s="193"/>
      <c r="Z52" s="191"/>
      <c r="AA52" s="193"/>
      <c r="AB52" s="193"/>
      <c r="AC52" s="190"/>
      <c r="AD52" s="191"/>
      <c r="AE52" s="193"/>
      <c r="AF52" s="193"/>
      <c r="AG52" s="190"/>
      <c r="AH52" s="191"/>
      <c r="AI52" s="193"/>
      <c r="AJ52" s="193"/>
      <c r="AK52" s="190"/>
      <c r="AL52" s="191"/>
      <c r="AM52" s="190"/>
      <c r="AN52" s="190"/>
      <c r="AO52" s="190"/>
      <c r="AP52" s="191">
        <v>-2461</v>
      </c>
      <c r="AQ52" s="190">
        <v>-2461</v>
      </c>
      <c r="AR52" s="668">
        <v>-2854.7</v>
      </c>
      <c r="AS52" s="190">
        <v>-2854.7</v>
      </c>
      <c r="AT52" s="690">
        <v>-2854.7</v>
      </c>
      <c r="AU52" s="190">
        <v>-2854.7</v>
      </c>
      <c r="AV52" s="190">
        <v>-2854.7</v>
      </c>
      <c r="AW52" s="190">
        <v>-2854.7</v>
      </c>
      <c r="AX52" s="690">
        <v>-2854.7</v>
      </c>
      <c r="AY52" s="190">
        <v>-2854.7</v>
      </c>
      <c r="AZ52" s="190">
        <v>-2854.7</v>
      </c>
      <c r="BA52" s="190">
        <v>-2854.7</v>
      </c>
      <c r="BB52" s="690">
        <v>-2854.7</v>
      </c>
      <c r="BC52" s="190">
        <v>-2854.7</v>
      </c>
      <c r="BD52" s="190"/>
      <c r="BE52" s="190"/>
      <c r="BF52" s="690"/>
    </row>
    <row r="53" spans="1:59" s="199" customFormat="1" ht="25.2" customHeight="1" thickBot="1">
      <c r="A53" s="373" t="s">
        <v>213</v>
      </c>
      <c r="B53" s="373" t="s">
        <v>214</v>
      </c>
      <c r="C53" s="374">
        <f t="shared" ref="C53:AO53" si="12">SUM(C43:C51)</f>
        <v>2090.7669999999998</v>
      </c>
      <c r="D53" s="375">
        <f t="shared" si="12"/>
        <v>2192.2690000000002</v>
      </c>
      <c r="E53" s="375">
        <f t="shared" si="12"/>
        <v>2354.915</v>
      </c>
      <c r="F53" s="376">
        <f t="shared" si="12"/>
        <v>2468.4030000000002</v>
      </c>
      <c r="G53" s="375">
        <f t="shared" si="12"/>
        <v>2562.1680000000001</v>
      </c>
      <c r="H53" s="375">
        <f t="shared" si="12"/>
        <v>2647.2950000000001</v>
      </c>
      <c r="I53" s="375">
        <f t="shared" si="12"/>
        <v>2825.576</v>
      </c>
      <c r="J53" s="376">
        <f t="shared" si="12"/>
        <v>3001.2110000000002</v>
      </c>
      <c r="K53" s="374">
        <f t="shared" si="12"/>
        <v>3108.3469999999998</v>
      </c>
      <c r="L53" s="375">
        <f t="shared" si="12"/>
        <v>9091.7000000000007</v>
      </c>
      <c r="M53" s="375">
        <f t="shared" si="12"/>
        <v>9130.7000000000007</v>
      </c>
      <c r="N53" s="376">
        <f t="shared" si="12"/>
        <v>9078.2000000000007</v>
      </c>
      <c r="O53" s="374">
        <f t="shared" si="12"/>
        <v>9311.9</v>
      </c>
      <c r="P53" s="375">
        <f t="shared" si="12"/>
        <v>9557.8000000000011</v>
      </c>
      <c r="Q53" s="375">
        <f t="shared" si="12"/>
        <v>10060</v>
      </c>
      <c r="R53" s="376">
        <f t="shared" si="12"/>
        <v>10250.1</v>
      </c>
      <c r="S53" s="374">
        <f t="shared" si="12"/>
        <v>10427.6</v>
      </c>
      <c r="T53" s="375">
        <f t="shared" si="12"/>
        <v>10667.1</v>
      </c>
      <c r="U53" s="375">
        <f t="shared" si="12"/>
        <v>10947.4</v>
      </c>
      <c r="V53" s="376">
        <f t="shared" si="12"/>
        <v>11299.6</v>
      </c>
      <c r="W53" s="374">
        <f t="shared" si="12"/>
        <v>11578.3</v>
      </c>
      <c r="X53" s="375">
        <f t="shared" si="12"/>
        <v>11664.6</v>
      </c>
      <c r="Y53" s="375">
        <f t="shared" si="12"/>
        <v>11907.400000000001</v>
      </c>
      <c r="Z53" s="376">
        <f t="shared" si="12"/>
        <v>12074.2</v>
      </c>
      <c r="AA53" s="374">
        <f t="shared" si="12"/>
        <v>12871</v>
      </c>
      <c r="AB53" s="375">
        <f t="shared" si="12"/>
        <v>12899.7</v>
      </c>
      <c r="AC53" s="375">
        <f t="shared" si="12"/>
        <v>13126</v>
      </c>
      <c r="AD53" s="376">
        <f t="shared" si="12"/>
        <v>13227</v>
      </c>
      <c r="AE53" s="374">
        <f t="shared" si="12"/>
        <v>13519</v>
      </c>
      <c r="AF53" s="375">
        <f t="shared" si="12"/>
        <v>13268</v>
      </c>
      <c r="AG53" s="375">
        <f t="shared" si="12"/>
        <v>13499.4</v>
      </c>
      <c r="AH53" s="376">
        <f t="shared" si="12"/>
        <v>13811.3</v>
      </c>
      <c r="AI53" s="374">
        <f t="shared" si="12"/>
        <v>13987.400000000001</v>
      </c>
      <c r="AJ53" s="375">
        <f t="shared" si="12"/>
        <v>14290.5</v>
      </c>
      <c r="AK53" s="375">
        <f t="shared" si="12"/>
        <v>13996.7</v>
      </c>
      <c r="AL53" s="376">
        <f t="shared" si="12"/>
        <v>14432.8</v>
      </c>
      <c r="AM53" s="375">
        <f t="shared" si="12"/>
        <v>14718.4</v>
      </c>
      <c r="AN53" s="375">
        <f t="shared" si="12"/>
        <v>14472.5</v>
      </c>
      <c r="AO53" s="375">
        <f t="shared" si="12"/>
        <v>17510.8</v>
      </c>
      <c r="AP53" s="376">
        <f t="shared" ref="AP53:BB53" si="13">SUM(AP43:AP52)</f>
        <v>15395.599999999999</v>
      </c>
      <c r="AQ53" s="375">
        <f t="shared" si="13"/>
        <v>15621.400000000001</v>
      </c>
      <c r="AR53" s="666">
        <f t="shared" si="13"/>
        <v>14884.7</v>
      </c>
      <c r="AS53" s="666">
        <f t="shared" si="13"/>
        <v>15128.3</v>
      </c>
      <c r="AT53" s="688">
        <f t="shared" si="13"/>
        <v>15270.3</v>
      </c>
      <c r="AU53" s="375">
        <f t="shared" si="13"/>
        <v>15325</v>
      </c>
      <c r="AV53" s="666">
        <f t="shared" si="13"/>
        <v>15301</v>
      </c>
      <c r="AW53" s="666">
        <f t="shared" si="13"/>
        <v>15355.2</v>
      </c>
      <c r="AX53" s="688">
        <f t="shared" si="13"/>
        <v>15431.8</v>
      </c>
      <c r="AY53" s="375">
        <f t="shared" si="13"/>
        <v>15614.7</v>
      </c>
      <c r="AZ53" s="666">
        <f t="shared" si="13"/>
        <v>15800.3</v>
      </c>
      <c r="BA53" s="666">
        <f t="shared" si="13"/>
        <v>16039.599999999999</v>
      </c>
      <c r="BB53" s="688">
        <f t="shared" si="13"/>
        <v>16123.100000000002</v>
      </c>
      <c r="BC53" s="375">
        <f t="shared" ref="BC53" si="14">SUM(BC43:BC52)</f>
        <v>16191.5</v>
      </c>
      <c r="BD53" s="666"/>
      <c r="BE53" s="666"/>
      <c r="BF53" s="688"/>
    </row>
    <row r="54" spans="1:59" s="7" customFormat="1" ht="20.149999999999999" customHeight="1" thickBot="1">
      <c r="A54" s="27" t="s">
        <v>215</v>
      </c>
      <c r="B54" s="106" t="s">
        <v>216</v>
      </c>
      <c r="C54" s="24">
        <v>0</v>
      </c>
      <c r="D54" s="24">
        <v>0</v>
      </c>
      <c r="E54" s="24">
        <v>0</v>
      </c>
      <c r="F54" s="201">
        <v>0</v>
      </c>
      <c r="G54" s="202">
        <v>0</v>
      </c>
      <c r="H54" s="202">
        <v>0</v>
      </c>
      <c r="I54" s="357">
        <f>2/1000</f>
        <v>2E-3</v>
      </c>
      <c r="J54" s="357">
        <f>2/1000</f>
        <v>2E-3</v>
      </c>
      <c r="K54" s="358">
        <f>2/1000</f>
        <v>2E-3</v>
      </c>
      <c r="L54" s="202">
        <v>0</v>
      </c>
      <c r="M54" s="202">
        <v>0</v>
      </c>
      <c r="N54" s="201">
        <v>0</v>
      </c>
      <c r="O54" s="202">
        <v>0</v>
      </c>
      <c r="P54" s="202">
        <v>0</v>
      </c>
      <c r="Q54" s="202">
        <v>0</v>
      </c>
      <c r="R54" s="61">
        <v>0</v>
      </c>
      <c r="S54" s="192">
        <v>-22.4</v>
      </c>
      <c r="T54" s="192">
        <v>94.5</v>
      </c>
      <c r="U54" s="192">
        <v>86.1</v>
      </c>
      <c r="V54" s="61">
        <v>78</v>
      </c>
      <c r="W54" s="192">
        <v>70</v>
      </c>
      <c r="X54" s="192">
        <v>60.5</v>
      </c>
      <c r="Y54" s="192">
        <v>52.5</v>
      </c>
      <c r="Z54" s="61">
        <v>42.6</v>
      </c>
      <c r="AA54" s="192">
        <v>34</v>
      </c>
      <c r="AB54" s="192">
        <v>554.29999999999995</v>
      </c>
      <c r="AC54" s="192">
        <v>555.29999999999995</v>
      </c>
      <c r="AD54" s="61">
        <v>648.20000000000005</v>
      </c>
      <c r="AE54" s="192">
        <v>653.6</v>
      </c>
      <c r="AF54" s="192">
        <v>650.5</v>
      </c>
      <c r="AG54" s="192">
        <v>655.7</v>
      </c>
      <c r="AH54" s="61">
        <v>653.20000000000005</v>
      </c>
      <c r="AI54" s="192">
        <v>652.6</v>
      </c>
      <c r="AJ54" s="192">
        <v>647.5</v>
      </c>
      <c r="AK54" s="192">
        <v>646.6</v>
      </c>
      <c r="AL54" s="61">
        <v>-6.6</v>
      </c>
      <c r="AM54" s="192">
        <v>647.9</v>
      </c>
      <c r="AN54" s="192">
        <v>489.9</v>
      </c>
      <c r="AO54" s="192">
        <v>-6.6</v>
      </c>
      <c r="AP54" s="61">
        <v>-11</v>
      </c>
      <c r="AQ54" s="192">
        <v>-14.5</v>
      </c>
      <c r="AR54" s="192">
        <v>540.1</v>
      </c>
      <c r="AS54" s="192">
        <v>526.20000000000005</v>
      </c>
      <c r="AT54" s="689">
        <v>540.5</v>
      </c>
      <c r="AU54" s="192">
        <v>544.70000000000005</v>
      </c>
      <c r="AV54" s="192">
        <v>552.29999999999995</v>
      </c>
      <c r="AW54" s="192">
        <v>408.3</v>
      </c>
      <c r="AX54" s="689">
        <v>873.4</v>
      </c>
      <c r="AY54" s="192">
        <v>873</v>
      </c>
      <c r="AZ54" s="192">
        <v>863.4</v>
      </c>
      <c r="BA54" s="192">
        <v>862.1</v>
      </c>
      <c r="BB54" s="689">
        <v>946.2</v>
      </c>
      <c r="BC54" s="192">
        <v>948</v>
      </c>
      <c r="BD54" s="192"/>
      <c r="BE54" s="192"/>
      <c r="BF54" s="689"/>
    </row>
    <row r="55" spans="1:59" s="199" customFormat="1" ht="25.2" customHeight="1" thickBot="1">
      <c r="A55" s="373" t="s">
        <v>217</v>
      </c>
      <c r="B55" s="373" t="s">
        <v>218</v>
      </c>
      <c r="C55" s="374">
        <f>C53+C54</f>
        <v>2090.7669999999998</v>
      </c>
      <c r="D55" s="375">
        <f>D53+D54</f>
        <v>2192.2690000000002</v>
      </c>
      <c r="E55" s="375">
        <f>E53+E54</f>
        <v>2354.915</v>
      </c>
      <c r="F55" s="376">
        <f>F53</f>
        <v>2468.4030000000002</v>
      </c>
      <c r="G55" s="375">
        <f>G53</f>
        <v>2562.1680000000001</v>
      </c>
      <c r="H55" s="375">
        <f>H53</f>
        <v>2647.2950000000001</v>
      </c>
      <c r="I55" s="375">
        <f>SUM(I53:I54)</f>
        <v>2825.578</v>
      </c>
      <c r="J55" s="376">
        <f t="shared" ref="J55:AP55" si="15">J53+J54</f>
        <v>3001.2130000000002</v>
      </c>
      <c r="K55" s="374">
        <f t="shared" si="15"/>
        <v>3108.3489999999997</v>
      </c>
      <c r="L55" s="375">
        <f t="shared" si="15"/>
        <v>9091.7000000000007</v>
      </c>
      <c r="M55" s="375">
        <f t="shared" si="15"/>
        <v>9130.7000000000007</v>
      </c>
      <c r="N55" s="376">
        <f t="shared" si="15"/>
        <v>9078.2000000000007</v>
      </c>
      <c r="O55" s="374">
        <f t="shared" si="15"/>
        <v>9311.9</v>
      </c>
      <c r="P55" s="375">
        <f t="shared" si="15"/>
        <v>9557.8000000000011</v>
      </c>
      <c r="Q55" s="375">
        <f t="shared" si="15"/>
        <v>10060</v>
      </c>
      <c r="R55" s="376">
        <f t="shared" si="15"/>
        <v>10250.1</v>
      </c>
      <c r="S55" s="374">
        <f t="shared" si="15"/>
        <v>10405.200000000001</v>
      </c>
      <c r="T55" s="375">
        <f t="shared" si="15"/>
        <v>10761.6</v>
      </c>
      <c r="U55" s="375">
        <f t="shared" si="15"/>
        <v>11033.5</v>
      </c>
      <c r="V55" s="376">
        <f t="shared" si="15"/>
        <v>11377.6</v>
      </c>
      <c r="W55" s="374">
        <f t="shared" si="15"/>
        <v>11648.3</v>
      </c>
      <c r="X55" s="375">
        <f t="shared" si="15"/>
        <v>11725.1</v>
      </c>
      <c r="Y55" s="375">
        <f t="shared" si="15"/>
        <v>11959.900000000001</v>
      </c>
      <c r="Z55" s="376">
        <f t="shared" si="15"/>
        <v>12116.800000000001</v>
      </c>
      <c r="AA55" s="374">
        <f t="shared" si="15"/>
        <v>12905</v>
      </c>
      <c r="AB55" s="375">
        <f t="shared" si="15"/>
        <v>13454</v>
      </c>
      <c r="AC55" s="375">
        <f t="shared" si="15"/>
        <v>13681.3</v>
      </c>
      <c r="AD55" s="376">
        <f t="shared" si="15"/>
        <v>13875.2</v>
      </c>
      <c r="AE55" s="374">
        <f t="shared" si="15"/>
        <v>14172.6</v>
      </c>
      <c r="AF55" s="375">
        <f t="shared" si="15"/>
        <v>13918.5</v>
      </c>
      <c r="AG55" s="375">
        <f t="shared" si="15"/>
        <v>14155.1</v>
      </c>
      <c r="AH55" s="376">
        <f t="shared" si="15"/>
        <v>14464.5</v>
      </c>
      <c r="AI55" s="374">
        <f t="shared" si="15"/>
        <v>14640.000000000002</v>
      </c>
      <c r="AJ55" s="375">
        <f t="shared" si="15"/>
        <v>14938</v>
      </c>
      <c r="AK55" s="375">
        <f t="shared" si="15"/>
        <v>14643.300000000001</v>
      </c>
      <c r="AL55" s="376">
        <f t="shared" si="15"/>
        <v>14426.199999999999</v>
      </c>
      <c r="AM55" s="374">
        <f t="shared" si="15"/>
        <v>15366.3</v>
      </c>
      <c r="AN55" s="375">
        <f t="shared" si="15"/>
        <v>14962.4</v>
      </c>
      <c r="AO55" s="375">
        <f t="shared" si="15"/>
        <v>17504.2</v>
      </c>
      <c r="AP55" s="376">
        <f t="shared" si="15"/>
        <v>15384.599999999999</v>
      </c>
      <c r="AQ55" s="374">
        <f t="shared" ref="AQ55:AT55" si="16">AQ53+AQ54</f>
        <v>15606.900000000001</v>
      </c>
      <c r="AR55" s="666">
        <f t="shared" si="16"/>
        <v>15424.800000000001</v>
      </c>
      <c r="AS55" s="375">
        <f t="shared" si="16"/>
        <v>15654.5</v>
      </c>
      <c r="AT55" s="688">
        <f t="shared" si="16"/>
        <v>15810.8</v>
      </c>
      <c r="AU55" s="374">
        <f t="shared" ref="AU55:BB55" si="17">AU53+AU54</f>
        <v>15869.7</v>
      </c>
      <c r="AV55" s="666">
        <f t="shared" si="17"/>
        <v>15853.3</v>
      </c>
      <c r="AW55" s="375">
        <f t="shared" si="17"/>
        <v>15763.5</v>
      </c>
      <c r="AX55" s="688">
        <f t="shared" si="17"/>
        <v>16305.199999999999</v>
      </c>
      <c r="AY55" s="374">
        <f t="shared" si="17"/>
        <v>16487.7</v>
      </c>
      <c r="AZ55" s="666">
        <f t="shared" si="17"/>
        <v>16663.7</v>
      </c>
      <c r="BA55" s="666">
        <f t="shared" si="17"/>
        <v>16901.699999999997</v>
      </c>
      <c r="BB55" s="688">
        <f t="shared" si="17"/>
        <v>17069.300000000003</v>
      </c>
      <c r="BC55" s="374">
        <f t="shared" ref="BC55" si="18">BC53+BC54</f>
        <v>17139.5</v>
      </c>
      <c r="BD55" s="666"/>
      <c r="BE55" s="666"/>
      <c r="BF55" s="688"/>
    </row>
    <row r="56" spans="1:59" s="7" customFormat="1" ht="20.149999999999999" customHeight="1">
      <c r="A56" s="27" t="s">
        <v>219</v>
      </c>
      <c r="B56" s="105" t="s">
        <v>220</v>
      </c>
      <c r="C56" s="30">
        <f>932.068</f>
        <v>932.06799999999998</v>
      </c>
      <c r="D56" s="30">
        <f>(889155)*0.001</f>
        <v>889.15499999999997</v>
      </c>
      <c r="E56" s="30">
        <f>(680371)*0.001</f>
        <v>680.37099999999998</v>
      </c>
      <c r="F56" s="216">
        <f>(592003)*0.001</f>
        <v>592.00300000000004</v>
      </c>
      <c r="G56" s="211">
        <f>(572819)*0.001</f>
        <v>572.81899999999996</v>
      </c>
      <c r="H56" s="211">
        <f>(422858)*0.001</f>
        <v>422.858</v>
      </c>
      <c r="I56" s="211">
        <f>(329798)*0.001</f>
        <v>329.798</v>
      </c>
      <c r="J56" s="211">
        <f>(239889)*0.001</f>
        <v>239.88900000000001</v>
      </c>
      <c r="K56" s="217">
        <f>(236277)*0.001</f>
        <v>236.27700000000002</v>
      </c>
      <c r="L56" s="205">
        <v>8446.1</v>
      </c>
      <c r="M56" s="205">
        <v>7976.3</v>
      </c>
      <c r="N56" s="207">
        <v>7683.5</v>
      </c>
      <c r="O56" s="206">
        <v>7357.9</v>
      </c>
      <c r="P56" s="206">
        <v>7034.6</v>
      </c>
      <c r="Q56" s="205">
        <v>5644.9</v>
      </c>
      <c r="R56" s="61">
        <v>5379.8</v>
      </c>
      <c r="S56" s="193">
        <v>9982.1</v>
      </c>
      <c r="T56" s="193">
        <v>9752</v>
      </c>
      <c r="U56" s="193">
        <v>9530.2999999999993</v>
      </c>
      <c r="V56" s="61">
        <v>9302.7000000000007</v>
      </c>
      <c r="W56" s="193">
        <v>9056</v>
      </c>
      <c r="X56" s="193">
        <v>8808.6</v>
      </c>
      <c r="Y56" s="193">
        <v>8561.9</v>
      </c>
      <c r="Z56" s="61">
        <v>9291.4</v>
      </c>
      <c r="AA56" s="193">
        <v>9474.7000000000007</v>
      </c>
      <c r="AB56" s="193">
        <v>9139.4</v>
      </c>
      <c r="AC56" s="190">
        <v>9043.7999999999993</v>
      </c>
      <c r="AD56" s="61">
        <v>8605.2999999999993</v>
      </c>
      <c r="AE56" s="193">
        <v>8339.7999999999993</v>
      </c>
      <c r="AF56" s="193">
        <v>8100.2</v>
      </c>
      <c r="AG56" s="193">
        <v>7861.1</v>
      </c>
      <c r="AH56" s="61">
        <v>8617</v>
      </c>
      <c r="AI56" s="193">
        <v>8453.4</v>
      </c>
      <c r="AJ56" s="193">
        <v>9258.2999999999993</v>
      </c>
      <c r="AK56" s="193">
        <v>9073.7000000000007</v>
      </c>
      <c r="AL56" s="61">
        <v>8887.7999999999993</v>
      </c>
      <c r="AM56" s="193">
        <v>8701.9</v>
      </c>
      <c r="AN56" s="193">
        <v>8514.2000000000007</v>
      </c>
      <c r="AO56" s="193">
        <v>8005.1</v>
      </c>
      <c r="AP56" s="61">
        <v>7671.8</v>
      </c>
      <c r="AQ56" s="193">
        <v>7346.2</v>
      </c>
      <c r="AR56" s="192">
        <v>7025.1</v>
      </c>
      <c r="AS56" s="193">
        <v>6840.6</v>
      </c>
      <c r="AT56" s="689">
        <v>6624.8</v>
      </c>
      <c r="AU56" s="193">
        <v>6469.7</v>
      </c>
      <c r="AV56" s="192">
        <v>8620.7000000000007</v>
      </c>
      <c r="AW56" s="190">
        <v>9072.7000000000007</v>
      </c>
      <c r="AX56" s="690">
        <v>9534.2999999999993</v>
      </c>
      <c r="AY56" s="193">
        <v>9429.7000000000007</v>
      </c>
      <c r="AZ56" s="192">
        <v>9328.7000000000007</v>
      </c>
      <c r="BA56" s="190">
        <v>9279.7999999999993</v>
      </c>
      <c r="BB56" s="690">
        <v>9142.7000000000007</v>
      </c>
      <c r="BC56" s="193">
        <v>8962.7000000000007</v>
      </c>
      <c r="BD56" s="192"/>
      <c r="BE56" s="190"/>
      <c r="BF56" s="690"/>
      <c r="BG56" s="715"/>
    </row>
    <row r="57" spans="1:59" s="7" customFormat="1" ht="20.149999999999999" customHeight="1">
      <c r="A57" s="27" t="s">
        <v>221</v>
      </c>
      <c r="B57" s="105" t="s">
        <v>222</v>
      </c>
      <c r="C57" s="17">
        <f>1360.637</f>
        <v>1360.6369999999999</v>
      </c>
      <c r="D57" s="17">
        <f>(1369593)*0.001</f>
        <v>1369.5930000000001</v>
      </c>
      <c r="E57" s="17">
        <f>(1347224)*0.001</f>
        <v>1347.2239999999999</v>
      </c>
      <c r="F57" s="204">
        <f>(1316479)*0.001</f>
        <v>1316.479</v>
      </c>
      <c r="G57" s="205">
        <f>(1370119)*0.001</f>
        <v>1370.1190000000001</v>
      </c>
      <c r="H57" s="205">
        <f>(1395972)*0.001</f>
        <v>1395.972</v>
      </c>
      <c r="I57" s="205">
        <f>(1385314)*0.001</f>
        <v>1385.3140000000001</v>
      </c>
      <c r="J57" s="204">
        <f>(1340010)*0.001</f>
        <v>1340.01</v>
      </c>
      <c r="K57" s="205">
        <f>(1396071)*0.001</f>
        <v>1396.0710000000001</v>
      </c>
      <c r="L57" s="205">
        <v>4286.8999999999996</v>
      </c>
      <c r="M57" s="205">
        <v>4302.1000000000004</v>
      </c>
      <c r="N57" s="207">
        <v>4550.2</v>
      </c>
      <c r="O57" s="206">
        <v>4470</v>
      </c>
      <c r="P57" s="206">
        <v>4582.5</v>
      </c>
      <c r="Q57" s="205">
        <v>964.4</v>
      </c>
      <c r="R57" s="61">
        <v>975.3</v>
      </c>
      <c r="S57" s="193">
        <v>2252.6</v>
      </c>
      <c r="T57" s="193">
        <v>1795.1</v>
      </c>
      <c r="U57" s="193">
        <v>1805.1</v>
      </c>
      <c r="V57" s="61">
        <v>1835.7</v>
      </c>
      <c r="W57" s="193">
        <v>964.9</v>
      </c>
      <c r="X57" s="193">
        <v>975.3</v>
      </c>
      <c r="Y57" s="193">
        <v>965.2</v>
      </c>
      <c r="Z57" s="61">
        <v>975.7</v>
      </c>
      <c r="AA57" s="193">
        <v>965.2</v>
      </c>
      <c r="AB57" s="193">
        <v>975.5</v>
      </c>
      <c r="AC57" s="190">
        <v>965.6</v>
      </c>
      <c r="AD57" s="61">
        <v>976</v>
      </c>
      <c r="AE57" s="193">
        <v>965.5</v>
      </c>
      <c r="AF57" s="193">
        <v>968.9</v>
      </c>
      <c r="AG57" s="193">
        <v>977.7</v>
      </c>
      <c r="AH57" s="61">
        <v>969.2</v>
      </c>
      <c r="AI57" s="193">
        <v>1950.7</v>
      </c>
      <c r="AJ57" s="193">
        <v>1957.7</v>
      </c>
      <c r="AK57" s="193">
        <v>1958.8</v>
      </c>
      <c r="AL57" s="61">
        <v>1959.2</v>
      </c>
      <c r="AM57" s="193">
        <v>1959.8</v>
      </c>
      <c r="AN57" s="193">
        <v>1960.1</v>
      </c>
      <c r="AO57" s="193">
        <v>1960.6</v>
      </c>
      <c r="AP57" s="61">
        <v>1942.1</v>
      </c>
      <c r="AQ57" s="193">
        <v>1931.4</v>
      </c>
      <c r="AR57" s="192">
        <v>1905.2</v>
      </c>
      <c r="AS57" s="193">
        <v>1910.3</v>
      </c>
      <c r="AT57" s="689">
        <v>1900.4</v>
      </c>
      <c r="AU57" s="193">
        <v>2897</v>
      </c>
      <c r="AV57" s="192">
        <v>2960.9</v>
      </c>
      <c r="AW57" s="190">
        <v>3497.8</v>
      </c>
      <c r="AX57" s="690">
        <v>3955.4</v>
      </c>
      <c r="AY57" s="193">
        <v>3581.6</v>
      </c>
      <c r="AZ57" s="192">
        <v>3668</v>
      </c>
      <c r="BA57" s="190">
        <v>3583.1</v>
      </c>
      <c r="BB57" s="690">
        <v>3670.8</v>
      </c>
      <c r="BC57" s="193">
        <v>3583.8</v>
      </c>
      <c r="BD57" s="192"/>
      <c r="BE57" s="190"/>
      <c r="BF57" s="690"/>
    </row>
    <row r="58" spans="1:59" s="7" customFormat="1" ht="20.149999999999999" customHeight="1">
      <c r="A58" s="95" t="s">
        <v>223</v>
      </c>
      <c r="B58" s="107" t="s">
        <v>224</v>
      </c>
      <c r="C58" s="30">
        <f>0.81</f>
        <v>0.81</v>
      </c>
      <c r="D58" s="30">
        <f>(741)*0.001</f>
        <v>0.74099999999999999</v>
      </c>
      <c r="E58" s="30">
        <f>(638)*0.001</f>
        <v>0.63800000000000001</v>
      </c>
      <c r="F58" s="216">
        <f>(551)*0.001</f>
        <v>0.55100000000000005</v>
      </c>
      <c r="G58" s="211">
        <f>(474)*0.001</f>
        <v>0.47400000000000003</v>
      </c>
      <c r="H58" s="211">
        <f>(424)*0.001</f>
        <v>0.42399999999999999</v>
      </c>
      <c r="I58" s="211">
        <f>(306)*0.001</f>
        <v>0.30599999999999999</v>
      </c>
      <c r="J58" s="211">
        <f>(227)*0.001</f>
        <v>0.22700000000000001</v>
      </c>
      <c r="K58" s="217">
        <f>(166)*0.001</f>
        <v>0.16600000000000001</v>
      </c>
      <c r="L58" s="208">
        <v>4.5</v>
      </c>
      <c r="M58" s="208">
        <v>7.9</v>
      </c>
      <c r="N58" s="215">
        <v>11.7</v>
      </c>
      <c r="O58" s="218">
        <v>13.4</v>
      </c>
      <c r="P58" s="218">
        <v>15.7</v>
      </c>
      <c r="Q58" s="208">
        <v>21.3</v>
      </c>
      <c r="R58" s="61">
        <v>20.9</v>
      </c>
      <c r="S58" s="190">
        <v>21.2</v>
      </c>
      <c r="T58" s="190">
        <v>23.3</v>
      </c>
      <c r="U58" s="190">
        <v>22.1</v>
      </c>
      <c r="V58" s="61">
        <v>20.9</v>
      </c>
      <c r="W58" s="190">
        <v>22.6</v>
      </c>
      <c r="X58" s="190">
        <v>21.4</v>
      </c>
      <c r="Y58" s="190">
        <v>19.399999999999999</v>
      </c>
      <c r="Z58" s="61">
        <v>18.600000000000001</v>
      </c>
      <c r="AA58" s="190">
        <v>17.3</v>
      </c>
      <c r="AB58" s="190">
        <v>14.6</v>
      </c>
      <c r="AC58" s="190">
        <v>15</v>
      </c>
      <c r="AD58" s="61">
        <v>15.8</v>
      </c>
      <c r="AE58" s="190">
        <v>1070</v>
      </c>
      <c r="AF58" s="190">
        <v>997.6</v>
      </c>
      <c r="AG58" s="193">
        <v>946.9</v>
      </c>
      <c r="AH58" s="61">
        <v>1023.8</v>
      </c>
      <c r="AI58" s="190">
        <v>986.2</v>
      </c>
      <c r="AJ58" s="190">
        <v>1021.2</v>
      </c>
      <c r="AK58" s="193">
        <v>1016.4</v>
      </c>
      <c r="AL58" s="61">
        <v>1140.5</v>
      </c>
      <c r="AM58" s="190">
        <v>537.4</v>
      </c>
      <c r="AN58" s="193">
        <v>504.2</v>
      </c>
      <c r="AO58" s="193">
        <v>495.3</v>
      </c>
      <c r="AP58" s="61">
        <v>497.5</v>
      </c>
      <c r="AQ58" s="190">
        <v>467.5</v>
      </c>
      <c r="AR58" s="192">
        <v>349.1</v>
      </c>
      <c r="AS58" s="193">
        <v>328.3</v>
      </c>
      <c r="AT58" s="689">
        <v>345.6</v>
      </c>
      <c r="AU58" s="190">
        <v>342.2</v>
      </c>
      <c r="AV58" s="192">
        <v>337.3</v>
      </c>
      <c r="AW58" s="190">
        <v>399</v>
      </c>
      <c r="AX58" s="690">
        <v>444.6</v>
      </c>
      <c r="AY58" s="190">
        <v>454.9</v>
      </c>
      <c r="AZ58" s="192">
        <v>473.5</v>
      </c>
      <c r="BA58" s="190">
        <v>460.2</v>
      </c>
      <c r="BB58" s="690">
        <v>502.8</v>
      </c>
      <c r="BC58" s="190">
        <v>508.6</v>
      </c>
      <c r="BD58" s="192"/>
      <c r="BE58" s="190"/>
      <c r="BF58" s="690"/>
    </row>
    <row r="59" spans="1:59" s="7" customFormat="1" ht="20.149999999999999" customHeight="1">
      <c r="A59" s="27" t="s">
        <v>225</v>
      </c>
      <c r="B59" s="105" t="s">
        <v>226</v>
      </c>
      <c r="C59" s="18" t="e">
        <f>0*($A$88)</f>
        <v>#VALUE!</v>
      </c>
      <c r="D59" s="18">
        <f>0</f>
        <v>0</v>
      </c>
      <c r="E59" s="18">
        <f>0</f>
        <v>0</v>
      </c>
      <c r="F59" s="219">
        <v>0</v>
      </c>
      <c r="G59" s="220">
        <v>0</v>
      </c>
      <c r="H59" s="220">
        <f>0</f>
        <v>0</v>
      </c>
      <c r="I59" s="220">
        <v>0</v>
      </c>
      <c r="J59" s="220">
        <v>0</v>
      </c>
      <c r="K59" s="221">
        <v>0</v>
      </c>
      <c r="L59" s="208">
        <v>835.8</v>
      </c>
      <c r="M59" s="208">
        <v>730.2</v>
      </c>
      <c r="N59" s="215">
        <v>750.3</v>
      </c>
      <c r="O59" s="218">
        <v>724.4</v>
      </c>
      <c r="P59" s="218">
        <v>747.9</v>
      </c>
      <c r="Q59" s="208">
        <v>645.1</v>
      </c>
      <c r="R59" s="61">
        <v>652.79999999999995</v>
      </c>
      <c r="S59" s="190">
        <v>658</v>
      </c>
      <c r="T59" s="190">
        <v>686.7</v>
      </c>
      <c r="U59" s="190">
        <v>555.79999999999995</v>
      </c>
      <c r="V59" s="61">
        <v>574</v>
      </c>
      <c r="W59" s="190">
        <v>551</v>
      </c>
      <c r="X59" s="190">
        <v>555.4</v>
      </c>
      <c r="Y59" s="190">
        <v>452.4</v>
      </c>
      <c r="Z59" s="61">
        <v>440.8</v>
      </c>
      <c r="AA59" s="190">
        <v>447.6</v>
      </c>
      <c r="AB59" s="190">
        <v>466.9</v>
      </c>
      <c r="AC59" s="190">
        <v>343.6</v>
      </c>
      <c r="AD59" s="61">
        <v>348.2</v>
      </c>
      <c r="AE59" s="190">
        <v>350.5</v>
      </c>
      <c r="AF59" s="190">
        <v>348.8</v>
      </c>
      <c r="AG59" s="193">
        <v>241.7</v>
      </c>
      <c r="AH59" s="61">
        <v>236.9</v>
      </c>
      <c r="AI59" s="190">
        <v>254.9</v>
      </c>
      <c r="AJ59" s="190">
        <v>251.7</v>
      </c>
      <c r="AK59" s="193">
        <v>133.30000000000001</v>
      </c>
      <c r="AL59" s="61">
        <v>136.69999999999999</v>
      </c>
      <c r="AM59" s="190">
        <v>139</v>
      </c>
      <c r="AN59" s="193">
        <v>135.69999999999999</v>
      </c>
      <c r="AO59" s="193">
        <v>0</v>
      </c>
      <c r="AP59" s="61">
        <v>0</v>
      </c>
      <c r="AQ59" s="190">
        <v>0</v>
      </c>
      <c r="AR59" s="192">
        <v>0</v>
      </c>
      <c r="AS59" s="192">
        <v>0</v>
      </c>
      <c r="AT59" s="689">
        <v>0</v>
      </c>
      <c r="AU59" s="190">
        <v>0</v>
      </c>
      <c r="AV59" s="192">
        <v>0</v>
      </c>
      <c r="AW59" s="190">
        <v>0</v>
      </c>
      <c r="AX59" s="689">
        <v>0</v>
      </c>
      <c r="AY59" s="190">
        <v>0</v>
      </c>
      <c r="AZ59" s="192">
        <v>0</v>
      </c>
      <c r="BA59" s="190">
        <v>0</v>
      </c>
      <c r="BB59" s="689">
        <v>0</v>
      </c>
      <c r="BC59" s="190">
        <v>0</v>
      </c>
      <c r="BD59" s="192"/>
      <c r="BE59" s="190"/>
      <c r="BF59" s="689"/>
    </row>
    <row r="60" spans="1:59" s="7" customFormat="1" ht="20.149999999999999" customHeight="1">
      <c r="A60" s="27" t="s">
        <v>227</v>
      </c>
      <c r="B60" s="105" t="s">
        <v>228</v>
      </c>
      <c r="C60" s="41">
        <f>87.307</f>
        <v>87.307000000000002</v>
      </c>
      <c r="D60" s="41">
        <f>(88480)*0.001</f>
        <v>88.48</v>
      </c>
      <c r="E60" s="41">
        <f>(97271)*0.001</f>
        <v>97.271000000000001</v>
      </c>
      <c r="F60" s="209">
        <f>(94258)*0.001</f>
        <v>94.257999999999996</v>
      </c>
      <c r="G60" s="210">
        <f>(93487)*0.001</f>
        <v>93.487000000000009</v>
      </c>
      <c r="H60" s="210">
        <f>(93150)*0.001</f>
        <v>93.15</v>
      </c>
      <c r="I60" s="210">
        <f>(98799)*0.001</f>
        <v>98.799000000000007</v>
      </c>
      <c r="J60" s="210">
        <f>(108066)*0.001</f>
        <v>108.066</v>
      </c>
      <c r="K60" s="222">
        <f>(95950)*0.001</f>
        <v>95.95</v>
      </c>
      <c r="L60" s="205">
        <v>1010.7</v>
      </c>
      <c r="M60" s="205">
        <v>1038.8</v>
      </c>
      <c r="N60" s="215">
        <v>908.7</v>
      </c>
      <c r="O60" s="218">
        <v>888.6</v>
      </c>
      <c r="P60" s="218">
        <v>821.1</v>
      </c>
      <c r="Q60" s="205">
        <v>770.4</v>
      </c>
      <c r="R60" s="61">
        <v>615.79999999999995</v>
      </c>
      <c r="S60" s="190">
        <v>694.4</v>
      </c>
      <c r="T60" s="190">
        <v>889.1</v>
      </c>
      <c r="U60" s="190">
        <v>923.2</v>
      </c>
      <c r="V60" s="61">
        <v>786.9</v>
      </c>
      <c r="W60" s="190">
        <v>812.3</v>
      </c>
      <c r="X60" s="190">
        <v>775.7</v>
      </c>
      <c r="Y60" s="190">
        <v>771.8</v>
      </c>
      <c r="Z60" s="61">
        <v>879.8</v>
      </c>
      <c r="AA60" s="190">
        <v>1034.8</v>
      </c>
      <c r="AB60" s="190">
        <v>1027.8</v>
      </c>
      <c r="AC60" s="190">
        <v>1006.2</v>
      </c>
      <c r="AD60" s="61">
        <v>1160.0999999999999</v>
      </c>
      <c r="AE60" s="190">
        <v>1132</v>
      </c>
      <c r="AF60" s="190">
        <v>1129.8</v>
      </c>
      <c r="AG60" s="193">
        <v>1086.0999999999999</v>
      </c>
      <c r="AH60" s="61">
        <v>1025.3</v>
      </c>
      <c r="AI60" s="190">
        <v>950.2</v>
      </c>
      <c r="AJ60" s="190">
        <v>973.2</v>
      </c>
      <c r="AK60" s="193">
        <v>984.4</v>
      </c>
      <c r="AL60" s="61">
        <v>902.1</v>
      </c>
      <c r="AM60" s="190">
        <v>857.5</v>
      </c>
      <c r="AN60" s="193">
        <v>885.5</v>
      </c>
      <c r="AO60" s="193">
        <v>853.2</v>
      </c>
      <c r="AP60" s="61">
        <v>794.9</v>
      </c>
      <c r="AQ60" s="190">
        <v>721</v>
      </c>
      <c r="AR60" s="192">
        <v>1044.2</v>
      </c>
      <c r="AS60" s="192">
        <v>1023.2</v>
      </c>
      <c r="AT60" s="689">
        <v>978.7</v>
      </c>
      <c r="AU60" s="190">
        <v>914.9</v>
      </c>
      <c r="AV60" s="192">
        <v>891.1</v>
      </c>
      <c r="AW60" s="190">
        <v>872.8</v>
      </c>
      <c r="AX60" s="690">
        <v>1035</v>
      </c>
      <c r="AY60" s="190">
        <v>1088.3</v>
      </c>
      <c r="AZ60" s="192">
        <v>1056.8</v>
      </c>
      <c r="BA60" s="190">
        <v>1102.7</v>
      </c>
      <c r="BB60" s="690">
        <v>1087.5</v>
      </c>
      <c r="BC60" s="190">
        <v>1057.0999999999999</v>
      </c>
      <c r="BD60" s="192"/>
      <c r="BE60" s="190"/>
      <c r="BF60" s="690"/>
    </row>
    <row r="61" spans="1:59" s="7" customFormat="1" ht="20.149999999999999" customHeight="1">
      <c r="A61" s="27" t="s">
        <v>229</v>
      </c>
      <c r="B61" s="105" t="s">
        <v>230</v>
      </c>
      <c r="C61" s="24">
        <v>0</v>
      </c>
      <c r="D61" s="41">
        <f>(6285)*0.001</f>
        <v>6.2850000000000001</v>
      </c>
      <c r="E61" s="41">
        <f>(5716)*0.001</f>
        <v>5.7160000000000002</v>
      </c>
      <c r="F61" s="209">
        <f>(5181)*0.001</f>
        <v>5.181</v>
      </c>
      <c r="G61" s="210">
        <f>(4978)*0.001</f>
        <v>4.9779999999999998</v>
      </c>
      <c r="H61" s="210">
        <f>(4754)*0.001</f>
        <v>4.7540000000000004</v>
      </c>
      <c r="I61" s="210">
        <f>(4303)*0.001</f>
        <v>4.3029999999999999</v>
      </c>
      <c r="J61" s="210">
        <f>(4079)*0.001</f>
        <v>4.0789999999999997</v>
      </c>
      <c r="K61" s="222">
        <f>(3008)*0.001</f>
        <v>3.008</v>
      </c>
      <c r="L61" s="208">
        <v>2.8</v>
      </c>
      <c r="M61" s="208">
        <v>3.9</v>
      </c>
      <c r="N61" s="215">
        <v>4.7</v>
      </c>
      <c r="O61" s="218">
        <v>5.5</v>
      </c>
      <c r="P61" s="218">
        <v>5</v>
      </c>
      <c r="Q61" s="208">
        <v>4.5</v>
      </c>
      <c r="R61" s="61">
        <v>4.7</v>
      </c>
      <c r="S61" s="190">
        <v>22.1</v>
      </c>
      <c r="T61" s="190">
        <v>21</v>
      </c>
      <c r="U61" s="190">
        <v>20.100000000000001</v>
      </c>
      <c r="V61" s="61">
        <v>20.100000000000001</v>
      </c>
      <c r="W61" s="190">
        <v>4</v>
      </c>
      <c r="X61" s="190">
        <v>3.8</v>
      </c>
      <c r="Y61" s="190">
        <v>3.4</v>
      </c>
      <c r="Z61" s="61">
        <v>3.2</v>
      </c>
      <c r="AA61" s="190">
        <v>0</v>
      </c>
      <c r="AB61" s="190">
        <v>0</v>
      </c>
      <c r="AC61" s="190">
        <v>0</v>
      </c>
      <c r="AD61" s="61">
        <v>0</v>
      </c>
      <c r="AE61" s="190">
        <v>0</v>
      </c>
      <c r="AF61" s="190">
        <v>0</v>
      </c>
      <c r="AG61" s="193">
        <v>0</v>
      </c>
      <c r="AH61" s="61">
        <v>0</v>
      </c>
      <c r="AI61" s="190">
        <v>0</v>
      </c>
      <c r="AJ61" s="190">
        <v>0</v>
      </c>
      <c r="AK61" s="193">
        <v>0</v>
      </c>
      <c r="AL61" s="61">
        <v>0</v>
      </c>
      <c r="AM61" s="190">
        <v>0</v>
      </c>
      <c r="AN61" s="193">
        <v>0</v>
      </c>
      <c r="AO61" s="193">
        <v>0</v>
      </c>
      <c r="AP61" s="61">
        <v>0</v>
      </c>
      <c r="AQ61" s="190">
        <v>0</v>
      </c>
      <c r="AR61" s="192">
        <v>0</v>
      </c>
      <c r="AS61" s="192">
        <v>0</v>
      </c>
      <c r="AT61" s="689">
        <v>0</v>
      </c>
      <c r="AU61" s="190">
        <v>0</v>
      </c>
      <c r="AV61" s="192">
        <v>0</v>
      </c>
      <c r="AW61" s="190">
        <v>0</v>
      </c>
      <c r="AX61" s="689">
        <v>0</v>
      </c>
      <c r="AY61" s="190">
        <v>0</v>
      </c>
      <c r="AZ61" s="192">
        <v>0</v>
      </c>
      <c r="BA61" s="190">
        <v>0</v>
      </c>
      <c r="BB61" s="689">
        <v>0</v>
      </c>
      <c r="BC61" s="190"/>
      <c r="BD61" s="192"/>
      <c r="BE61" s="190"/>
      <c r="BF61" s="689"/>
    </row>
    <row r="62" spans="1:59" s="7" customFormat="1" ht="20.149999999999999" customHeight="1">
      <c r="A62" s="27" t="s">
        <v>231</v>
      </c>
      <c r="B62" s="105" t="s">
        <v>232</v>
      </c>
      <c r="C62" s="41">
        <f>13.779</f>
        <v>13.779</v>
      </c>
      <c r="D62" s="41">
        <f>(17835)*0.001</f>
        <v>17.835000000000001</v>
      </c>
      <c r="E62" s="41">
        <f>(19037)*0.001</f>
        <v>19.036999999999999</v>
      </c>
      <c r="F62" s="209">
        <f>(17690)*0.001</f>
        <v>17.690000000000001</v>
      </c>
      <c r="G62" s="210">
        <f>(17684)*0.001</f>
        <v>17.684000000000001</v>
      </c>
      <c r="H62" s="210">
        <f>(10154)*0.001</f>
        <v>10.154</v>
      </c>
      <c r="I62" s="210">
        <f>(8594)*0.001</f>
        <v>8.5939999999999994</v>
      </c>
      <c r="J62" s="210">
        <f>(7915)*0.001</f>
        <v>7.915</v>
      </c>
      <c r="K62" s="222">
        <f>(7828)*0.001</f>
        <v>7.8280000000000003</v>
      </c>
      <c r="L62" s="208">
        <v>158.19999999999999</v>
      </c>
      <c r="M62" s="208">
        <v>164.6</v>
      </c>
      <c r="N62" s="215">
        <v>184.2</v>
      </c>
      <c r="O62" s="218">
        <v>167.4</v>
      </c>
      <c r="P62" s="218">
        <v>132.4</v>
      </c>
      <c r="Q62" s="208">
        <v>133.1</v>
      </c>
      <c r="R62" s="61">
        <v>124.2</v>
      </c>
      <c r="S62" s="190">
        <v>157.30000000000001</v>
      </c>
      <c r="T62" s="190">
        <v>148.9</v>
      </c>
      <c r="U62" s="190">
        <v>148.19999999999999</v>
      </c>
      <c r="V62" s="61">
        <v>130.19999999999999</v>
      </c>
      <c r="W62" s="190">
        <v>128.1</v>
      </c>
      <c r="X62" s="190">
        <v>122</v>
      </c>
      <c r="Y62" s="190">
        <v>122.2</v>
      </c>
      <c r="Z62" s="61">
        <v>114.2</v>
      </c>
      <c r="AA62" s="190">
        <v>122.4</v>
      </c>
      <c r="AB62" s="190">
        <v>436.6</v>
      </c>
      <c r="AC62" s="190">
        <v>728.3</v>
      </c>
      <c r="AD62" s="61">
        <v>697.6</v>
      </c>
      <c r="AE62" s="190">
        <v>620.1</v>
      </c>
      <c r="AF62" s="190">
        <v>494</v>
      </c>
      <c r="AG62" s="193">
        <v>380.5</v>
      </c>
      <c r="AH62" s="61">
        <v>384.7</v>
      </c>
      <c r="AI62" s="190">
        <v>311.8</v>
      </c>
      <c r="AJ62" s="190">
        <v>334.5</v>
      </c>
      <c r="AK62" s="193">
        <v>346.2</v>
      </c>
      <c r="AL62" s="61">
        <v>388.1</v>
      </c>
      <c r="AM62" s="190">
        <v>104.9</v>
      </c>
      <c r="AN62" s="193">
        <v>95.4</v>
      </c>
      <c r="AO62" s="193">
        <v>345.8</v>
      </c>
      <c r="AP62" s="61">
        <v>319.8</v>
      </c>
      <c r="AQ62" s="190">
        <v>273.2</v>
      </c>
      <c r="AR62" s="192">
        <v>383.1</v>
      </c>
      <c r="AS62" s="193">
        <v>355.4</v>
      </c>
      <c r="AT62" s="689">
        <v>330.9</v>
      </c>
      <c r="AU62" s="190">
        <v>286.39999999999998</v>
      </c>
      <c r="AV62" s="192">
        <v>410.4</v>
      </c>
      <c r="AW62" s="190">
        <v>410.2</v>
      </c>
      <c r="AX62" s="690">
        <v>385.6</v>
      </c>
      <c r="AY62" s="190">
        <v>341.4</v>
      </c>
      <c r="AZ62" s="192">
        <v>297.2</v>
      </c>
      <c r="BA62" s="190">
        <v>322</v>
      </c>
      <c r="BB62" s="690">
        <v>301.60000000000002</v>
      </c>
      <c r="BC62" s="190">
        <v>377.7</v>
      </c>
      <c r="BD62" s="192"/>
      <c r="BE62" s="190"/>
      <c r="BF62" s="690"/>
    </row>
    <row r="63" spans="1:59" s="15" customFormat="1" ht="20.149999999999999" customHeight="1" thickBot="1">
      <c r="A63" s="29" t="s">
        <v>233</v>
      </c>
      <c r="B63" s="109" t="s">
        <v>234</v>
      </c>
      <c r="C63" s="18" t="e">
        <f>0*($A$88)</f>
        <v>#VALUE!</v>
      </c>
      <c r="D63" s="18">
        <f>0</f>
        <v>0</v>
      </c>
      <c r="E63" s="18">
        <f>0</f>
        <v>0</v>
      </c>
      <c r="F63" s="219">
        <v>0</v>
      </c>
      <c r="G63" s="220">
        <v>0</v>
      </c>
      <c r="H63" s="220">
        <f>0</f>
        <v>0</v>
      </c>
      <c r="I63" s="220">
        <v>0</v>
      </c>
      <c r="J63" s="223">
        <v>0.1</v>
      </c>
      <c r="K63" s="221">
        <v>0</v>
      </c>
      <c r="L63" s="220" t="e">
        <f>0*($A$88)</f>
        <v>#VALUE!</v>
      </c>
      <c r="M63" s="220" t="e">
        <f>0*($A$88)</f>
        <v>#VALUE!</v>
      </c>
      <c r="N63" s="223">
        <v>40.1</v>
      </c>
      <c r="O63" s="224">
        <v>22.6</v>
      </c>
      <c r="P63" s="224">
        <v>2</v>
      </c>
      <c r="Q63" s="225">
        <v>1.9</v>
      </c>
      <c r="R63" s="61">
        <v>0</v>
      </c>
      <c r="S63" s="173">
        <v>1.1000000000000001</v>
      </c>
      <c r="T63" s="173">
        <v>0.9</v>
      </c>
      <c r="U63" s="173">
        <v>0</v>
      </c>
      <c r="V63" s="61">
        <v>0</v>
      </c>
      <c r="W63" s="173">
        <v>1.5</v>
      </c>
      <c r="X63" s="173">
        <v>1.7</v>
      </c>
      <c r="Y63" s="173">
        <v>1.3</v>
      </c>
      <c r="Z63" s="61">
        <v>0</v>
      </c>
      <c r="AA63" s="173">
        <v>2.2000000000000002</v>
      </c>
      <c r="AB63" s="173">
        <v>0.5</v>
      </c>
      <c r="AC63" s="173">
        <v>205</v>
      </c>
      <c r="AD63" s="61">
        <v>165.2</v>
      </c>
      <c r="AE63" s="173">
        <v>167.2</v>
      </c>
      <c r="AF63" s="173">
        <v>5.4</v>
      </c>
      <c r="AG63" s="173">
        <v>6.7</v>
      </c>
      <c r="AH63" s="61">
        <v>3.2</v>
      </c>
      <c r="AI63" s="173">
        <v>30.2</v>
      </c>
      <c r="AJ63" s="173">
        <v>29.6</v>
      </c>
      <c r="AK63" s="173">
        <v>24.9</v>
      </c>
      <c r="AL63" s="194">
        <v>16.8</v>
      </c>
      <c r="AM63" s="173">
        <v>6.7</v>
      </c>
      <c r="AN63" s="173">
        <v>1.4</v>
      </c>
      <c r="AO63" s="173">
        <v>0</v>
      </c>
      <c r="AP63" s="194">
        <v>0</v>
      </c>
      <c r="AQ63" s="173">
        <v>0</v>
      </c>
      <c r="AR63" s="665">
        <v>0</v>
      </c>
      <c r="AS63" s="173">
        <v>0</v>
      </c>
      <c r="AT63" s="687">
        <v>4.3</v>
      </c>
      <c r="AU63" s="173">
        <v>11.9</v>
      </c>
      <c r="AV63" s="665">
        <v>154</v>
      </c>
      <c r="AW63" s="173">
        <v>20.3</v>
      </c>
      <c r="AX63" s="699">
        <v>24</v>
      </c>
      <c r="AY63" s="173">
        <v>12.1</v>
      </c>
      <c r="AZ63" s="665">
        <v>9.3000000000000007</v>
      </c>
      <c r="BA63" s="173">
        <v>36.1</v>
      </c>
      <c r="BB63" s="699">
        <v>10.8</v>
      </c>
      <c r="BC63" s="173">
        <v>12.1</v>
      </c>
      <c r="BD63" s="665"/>
      <c r="BE63" s="173"/>
      <c r="BF63" s="699"/>
    </row>
    <row r="64" spans="1:59" s="199" customFormat="1" ht="25.2" customHeight="1" thickBot="1">
      <c r="A64" s="373" t="s">
        <v>235</v>
      </c>
      <c r="B64" s="373" t="s">
        <v>236</v>
      </c>
      <c r="C64" s="374" t="e">
        <f t="shared" ref="C64" si="19">SUM(C56:C62)</f>
        <v>#VALUE!</v>
      </c>
      <c r="D64" s="375">
        <f t="shared" ref="D64" si="20">SUM(D56:D62)</f>
        <v>2372.0889999999999</v>
      </c>
      <c r="E64" s="375">
        <f t="shared" ref="E64" si="21">SUM(E56:E62)</f>
        <v>2150.2569999999996</v>
      </c>
      <c r="F64" s="376">
        <f t="shared" ref="F64:I64" si="22">SUM(F56:F62)</f>
        <v>2026.162</v>
      </c>
      <c r="G64" s="375">
        <f t="shared" si="22"/>
        <v>2059.5610000000001</v>
      </c>
      <c r="H64" s="375">
        <f t="shared" si="22"/>
        <v>1927.3119999999999</v>
      </c>
      <c r="I64" s="375">
        <f t="shared" si="22"/>
        <v>1827.1140000000003</v>
      </c>
      <c r="J64" s="376">
        <f t="shared" ref="J64:K64" si="23">SUM(J56:J62)</f>
        <v>1700.1859999999999</v>
      </c>
      <c r="K64" s="374">
        <f t="shared" si="23"/>
        <v>1739.3000000000002</v>
      </c>
      <c r="L64" s="375">
        <f t="shared" ref="L64:M64" si="24">SUM(L56:L62)</f>
        <v>14745</v>
      </c>
      <c r="M64" s="375">
        <f t="shared" si="24"/>
        <v>14223.800000000001</v>
      </c>
      <c r="N64" s="376">
        <f t="shared" ref="N64:S64" si="25">SUM(N56:N63)-N63</f>
        <v>14093.300000000003</v>
      </c>
      <c r="O64" s="374">
        <f t="shared" si="25"/>
        <v>13627.199999999999</v>
      </c>
      <c r="P64" s="375">
        <f t="shared" si="25"/>
        <v>13339.2</v>
      </c>
      <c r="Q64" s="375">
        <f t="shared" si="25"/>
        <v>8183.7</v>
      </c>
      <c r="R64" s="376">
        <f t="shared" si="25"/>
        <v>7773.5</v>
      </c>
      <c r="S64" s="374">
        <f t="shared" si="25"/>
        <v>13787.7</v>
      </c>
      <c r="T64" s="375">
        <f t="shared" ref="T64:U64" si="26">SUM(T56:T63)-T63</f>
        <v>13316.1</v>
      </c>
      <c r="U64" s="375">
        <f t="shared" si="26"/>
        <v>13004.800000000001</v>
      </c>
      <c r="V64" s="376">
        <f t="shared" ref="V64" si="27">SUM(V56:V63)-V63</f>
        <v>12670.500000000002</v>
      </c>
      <c r="W64" s="374">
        <f t="shared" ref="W64:Z64" si="28">SUM(W56:W63)-W63</f>
        <v>11538.9</v>
      </c>
      <c r="X64" s="375">
        <f t="shared" si="28"/>
        <v>11262.199999999999</v>
      </c>
      <c r="Y64" s="375">
        <f t="shared" si="28"/>
        <v>10896.3</v>
      </c>
      <c r="Z64" s="376">
        <f t="shared" si="28"/>
        <v>11723.7</v>
      </c>
      <c r="AA64" s="374">
        <f t="shared" ref="AA64:AE64" si="29">SUM(AA56:AA63)-AA63</f>
        <v>12062</v>
      </c>
      <c r="AB64" s="375">
        <f t="shared" si="29"/>
        <v>12060.8</v>
      </c>
      <c r="AC64" s="375">
        <f t="shared" si="29"/>
        <v>12102.5</v>
      </c>
      <c r="AD64" s="376">
        <f t="shared" si="29"/>
        <v>11803</v>
      </c>
      <c r="AE64" s="374">
        <f t="shared" si="29"/>
        <v>12477.9</v>
      </c>
      <c r="AF64" s="375">
        <f t="shared" ref="AF64:AI64" si="30">SUM(AF56:AF63)-AF63</f>
        <v>12039.3</v>
      </c>
      <c r="AG64" s="375">
        <f t="shared" si="30"/>
        <v>11494.000000000002</v>
      </c>
      <c r="AH64" s="376">
        <f t="shared" si="30"/>
        <v>12256.9</v>
      </c>
      <c r="AI64" s="374">
        <f t="shared" si="30"/>
        <v>12907.2</v>
      </c>
      <c r="AJ64" s="375">
        <f t="shared" ref="AJ64:AM64" si="31">SUM(AJ56:AJ63)-AJ63</f>
        <v>13796.600000000002</v>
      </c>
      <c r="AK64" s="375">
        <f t="shared" si="31"/>
        <v>13512.8</v>
      </c>
      <c r="AL64" s="376">
        <f t="shared" si="31"/>
        <v>13414.400000000001</v>
      </c>
      <c r="AM64" s="374">
        <f t="shared" si="31"/>
        <v>12300.499999999998</v>
      </c>
      <c r="AN64" s="375">
        <f t="shared" ref="AN64:AQ64" si="32">SUM(AN56:AN63)-AN63</f>
        <v>12095.100000000002</v>
      </c>
      <c r="AO64" s="375">
        <f t="shared" si="32"/>
        <v>11660</v>
      </c>
      <c r="AP64" s="376">
        <f t="shared" si="32"/>
        <v>11226.099999999999</v>
      </c>
      <c r="AQ64" s="374">
        <f t="shared" si="32"/>
        <v>10739.300000000001</v>
      </c>
      <c r="AR64" s="666">
        <f t="shared" ref="AR64:AU64" si="33">SUM(AR56:AR63)-AR63</f>
        <v>10706.700000000003</v>
      </c>
      <c r="AS64" s="375">
        <f t="shared" si="33"/>
        <v>10457.799999999999</v>
      </c>
      <c r="AT64" s="376">
        <f t="shared" si="33"/>
        <v>10180.400000000001</v>
      </c>
      <c r="AU64" s="374">
        <f t="shared" si="33"/>
        <v>10910.2</v>
      </c>
      <c r="AV64" s="666">
        <f t="shared" ref="AV64:BB64" si="34">SUM(AV56:AV63)-AV63</f>
        <v>13220.4</v>
      </c>
      <c r="AW64" s="666">
        <f t="shared" si="34"/>
        <v>14252.5</v>
      </c>
      <c r="AX64" s="376">
        <f t="shared" si="34"/>
        <v>15354.9</v>
      </c>
      <c r="AY64" s="374">
        <f t="shared" si="34"/>
        <v>14895.9</v>
      </c>
      <c r="AZ64" s="666">
        <f t="shared" si="34"/>
        <v>14824.2</v>
      </c>
      <c r="BA64" s="666">
        <f t="shared" si="34"/>
        <v>14747.800000000001</v>
      </c>
      <c r="BB64" s="376">
        <f t="shared" si="34"/>
        <v>14705.4</v>
      </c>
      <c r="BC64" s="374">
        <f t="shared" ref="BC64" si="35">SUM(BC56:BC63)-BC63</f>
        <v>14489.900000000001</v>
      </c>
      <c r="BD64" s="666"/>
      <c r="BE64" s="666"/>
      <c r="BF64" s="376"/>
    </row>
    <row r="65" spans="1:61" s="7" customFormat="1" ht="20.149999999999999" customHeight="1">
      <c r="A65" s="27" t="s">
        <v>219</v>
      </c>
      <c r="B65" s="105" t="s">
        <v>220</v>
      </c>
      <c r="C65" s="41">
        <f>250.363</f>
        <v>250.363</v>
      </c>
      <c r="D65" s="41">
        <f>(265796)*0.001</f>
        <v>265.79599999999999</v>
      </c>
      <c r="E65" s="41">
        <f>(238676)*0.001</f>
        <v>238.67600000000002</v>
      </c>
      <c r="F65" s="209">
        <f>(275608)*0.001</f>
        <v>275.608</v>
      </c>
      <c r="G65" s="210">
        <f>(250329)*0.001</f>
        <v>250.32900000000001</v>
      </c>
      <c r="H65" s="210">
        <f>(263389)*0.001</f>
        <v>263.38900000000001</v>
      </c>
      <c r="I65" s="210">
        <f>(214673)*0.001</f>
        <v>214.673</v>
      </c>
      <c r="J65" s="210">
        <f>(245994)*0.001</f>
        <v>245.994</v>
      </c>
      <c r="K65" s="222">
        <f>(240921)*0.001</f>
        <v>240.92099999999999</v>
      </c>
      <c r="L65" s="205">
        <v>1094.3</v>
      </c>
      <c r="M65" s="205">
        <v>1365.1</v>
      </c>
      <c r="N65" s="207">
        <v>1322.6</v>
      </c>
      <c r="O65" s="206">
        <v>1543.9</v>
      </c>
      <c r="P65" s="206">
        <v>1169.9000000000001</v>
      </c>
      <c r="Q65" s="205">
        <v>963.7</v>
      </c>
      <c r="R65" s="61">
        <v>1230.9000000000001</v>
      </c>
      <c r="S65" s="193">
        <v>1593</v>
      </c>
      <c r="T65" s="193">
        <v>1251.3</v>
      </c>
      <c r="U65" s="193">
        <v>1269.4000000000001</v>
      </c>
      <c r="V65" s="61">
        <v>1270</v>
      </c>
      <c r="W65" s="193">
        <v>1286.8</v>
      </c>
      <c r="X65" s="193">
        <v>1805.9</v>
      </c>
      <c r="Y65" s="193">
        <v>1824.8</v>
      </c>
      <c r="Z65" s="61">
        <v>1341.9</v>
      </c>
      <c r="AA65" s="193">
        <v>552.9</v>
      </c>
      <c r="AB65" s="193">
        <v>1074.7</v>
      </c>
      <c r="AC65" s="190">
        <v>1368.9</v>
      </c>
      <c r="AD65" s="61">
        <v>1611.3</v>
      </c>
      <c r="AE65" s="193">
        <v>1298.2</v>
      </c>
      <c r="AF65" s="193">
        <v>1279</v>
      </c>
      <c r="AG65" s="193">
        <v>1748.5</v>
      </c>
      <c r="AH65" s="61">
        <v>1892.5</v>
      </c>
      <c r="AI65" s="193">
        <v>1241.5999999999999</v>
      </c>
      <c r="AJ65" s="193">
        <v>364.6</v>
      </c>
      <c r="AK65" s="193">
        <v>557.5</v>
      </c>
      <c r="AL65" s="61">
        <v>753</v>
      </c>
      <c r="AM65" s="193">
        <v>947.4</v>
      </c>
      <c r="AN65" s="193">
        <v>1053.4000000000001</v>
      </c>
      <c r="AO65" s="193">
        <v>1924.5</v>
      </c>
      <c r="AP65" s="61">
        <v>1072.7</v>
      </c>
      <c r="AQ65" s="193">
        <v>1219.0999999999999</v>
      </c>
      <c r="AR65" s="192">
        <v>1357.2</v>
      </c>
      <c r="AS65" s="193">
        <v>1367.2</v>
      </c>
      <c r="AT65" s="61">
        <v>1512.6</v>
      </c>
      <c r="AU65" s="193">
        <v>2376.3000000000002</v>
      </c>
      <c r="AV65" s="192">
        <v>1836</v>
      </c>
      <c r="AW65" s="190">
        <v>2552.3000000000002</v>
      </c>
      <c r="AX65" s="690">
        <v>1069.7</v>
      </c>
      <c r="AY65" s="193">
        <v>1190.8</v>
      </c>
      <c r="AZ65" s="192">
        <v>1349.1</v>
      </c>
      <c r="BA65" s="190">
        <v>1292.7</v>
      </c>
      <c r="BB65" s="690">
        <v>1315.1</v>
      </c>
      <c r="BC65" s="193">
        <v>770.3</v>
      </c>
      <c r="BD65" s="192"/>
      <c r="BE65" s="190"/>
      <c r="BF65" s="690"/>
      <c r="BI65" s="715"/>
    </row>
    <row r="66" spans="1:61" s="7" customFormat="1" ht="20.149999999999999" customHeight="1">
      <c r="A66" s="27" t="s">
        <v>221</v>
      </c>
      <c r="B66" s="105" t="s">
        <v>222</v>
      </c>
      <c r="C66" s="41">
        <f>100.836</f>
        <v>100.836</v>
      </c>
      <c r="D66" s="41">
        <f>(101342)*0.001</f>
        <v>101.342</v>
      </c>
      <c r="E66" s="41">
        <f>(99687)*0.001</f>
        <v>99.686999999999998</v>
      </c>
      <c r="F66" s="209">
        <f>(97256)*0.001</f>
        <v>97.256</v>
      </c>
      <c r="G66" s="210">
        <f>(101219)*0.001</f>
        <v>101.21900000000001</v>
      </c>
      <c r="H66" s="210">
        <f>(102957)*0.001</f>
        <v>102.95700000000001</v>
      </c>
      <c r="I66" s="210">
        <f>(102171)*0.001</f>
        <v>102.17100000000001</v>
      </c>
      <c r="J66" s="210">
        <f>(98659)*0.001</f>
        <v>98.659000000000006</v>
      </c>
      <c r="K66" s="222">
        <f>(101071)*0.001</f>
        <v>101.071</v>
      </c>
      <c r="L66" s="208">
        <v>431.9</v>
      </c>
      <c r="M66" s="208">
        <v>439.1</v>
      </c>
      <c r="N66" s="215">
        <v>464.4</v>
      </c>
      <c r="O66" s="218">
        <v>462.5</v>
      </c>
      <c r="P66" s="218">
        <v>479.4</v>
      </c>
      <c r="Q66" s="208">
        <v>4607.5</v>
      </c>
      <c r="R66" s="61">
        <v>4776.7</v>
      </c>
      <c r="S66" s="190">
        <v>41.5</v>
      </c>
      <c r="T66" s="190">
        <v>42.3</v>
      </c>
      <c r="U66" s="190">
        <v>41.9</v>
      </c>
      <c r="V66" s="61">
        <v>42.4</v>
      </c>
      <c r="W66" s="190">
        <v>981.4</v>
      </c>
      <c r="X66" s="190">
        <v>42.5</v>
      </c>
      <c r="Y66" s="190">
        <v>42.1</v>
      </c>
      <c r="Z66" s="61">
        <v>42.5</v>
      </c>
      <c r="AA66" s="190">
        <v>41.9</v>
      </c>
      <c r="AB66" s="190">
        <v>42.4</v>
      </c>
      <c r="AC66" s="190">
        <v>41.8</v>
      </c>
      <c r="AD66" s="61">
        <v>42.3</v>
      </c>
      <c r="AE66" s="190">
        <v>41.9</v>
      </c>
      <c r="AF66" s="190">
        <v>34.799999999999997</v>
      </c>
      <c r="AG66" s="193">
        <v>35.1</v>
      </c>
      <c r="AH66" s="61">
        <v>34.799999999999997</v>
      </c>
      <c r="AI66" s="190">
        <v>63.1</v>
      </c>
      <c r="AJ66" s="190">
        <v>48.9</v>
      </c>
      <c r="AK66" s="193">
        <v>41.1</v>
      </c>
      <c r="AL66" s="61">
        <v>38.700000000000003</v>
      </c>
      <c r="AM66" s="190">
        <v>38.6</v>
      </c>
      <c r="AN66" s="193">
        <v>38.6</v>
      </c>
      <c r="AO66" s="193">
        <v>39.200000000000003</v>
      </c>
      <c r="AP66" s="61">
        <v>66.400000000000006</v>
      </c>
      <c r="AQ66" s="190">
        <v>103.8</v>
      </c>
      <c r="AR66" s="192">
        <v>149</v>
      </c>
      <c r="AS66" s="193">
        <v>159.9</v>
      </c>
      <c r="AT66" s="61">
        <v>176</v>
      </c>
      <c r="AU66" s="190">
        <v>318</v>
      </c>
      <c r="AV66" s="192">
        <v>323.39999999999998</v>
      </c>
      <c r="AW66" s="190">
        <v>366.8</v>
      </c>
      <c r="AX66" s="690">
        <v>393.7</v>
      </c>
      <c r="AY66" s="190">
        <v>358.2</v>
      </c>
      <c r="AZ66" s="192">
        <v>366.3</v>
      </c>
      <c r="BA66" s="190">
        <v>358.8</v>
      </c>
      <c r="BB66" s="690">
        <v>366.9</v>
      </c>
      <c r="BC66" s="190">
        <v>356.1</v>
      </c>
      <c r="BD66" s="192"/>
      <c r="BE66" s="190"/>
      <c r="BF66" s="690"/>
      <c r="BI66" s="715"/>
    </row>
    <row r="67" spans="1:61" s="7" customFormat="1" ht="20.149999999999999" customHeight="1">
      <c r="A67" s="27" t="s">
        <v>237</v>
      </c>
      <c r="B67" s="107" t="s">
        <v>224</v>
      </c>
      <c r="C67" s="41">
        <f>0.237</f>
        <v>0.23699999999999999</v>
      </c>
      <c r="D67" s="41">
        <f>(243)*0.001</f>
        <v>0.24299999999999999</v>
      </c>
      <c r="E67" s="41">
        <f>(234)*0.001</f>
        <v>0.23400000000000001</v>
      </c>
      <c r="F67" s="209">
        <f>(233)*0.001</f>
        <v>0.23300000000000001</v>
      </c>
      <c r="G67" s="210">
        <f>(238)*0.001</f>
        <v>0.23800000000000002</v>
      </c>
      <c r="H67" s="210">
        <f>(247)*0.001</f>
        <v>0.247</v>
      </c>
      <c r="I67" s="210">
        <f>(240)*0.001</f>
        <v>0.24</v>
      </c>
      <c r="J67" s="210">
        <f>(236)*0.001</f>
        <v>0.23600000000000002</v>
      </c>
      <c r="K67" s="222">
        <f>(237)*0.001</f>
        <v>0.23700000000000002</v>
      </c>
      <c r="L67" s="208">
        <v>5.3</v>
      </c>
      <c r="M67" s="208">
        <v>5.8</v>
      </c>
      <c r="N67" s="215">
        <v>6.8</v>
      </c>
      <c r="O67" s="218">
        <v>2.7</v>
      </c>
      <c r="P67" s="218">
        <v>3.7</v>
      </c>
      <c r="Q67" s="208">
        <v>4.3</v>
      </c>
      <c r="R67" s="61">
        <v>4.3</v>
      </c>
      <c r="S67" s="190">
        <v>4.5</v>
      </c>
      <c r="T67" s="190">
        <v>4.9000000000000004</v>
      </c>
      <c r="U67" s="190">
        <v>4.9000000000000004</v>
      </c>
      <c r="V67" s="61">
        <v>5</v>
      </c>
      <c r="W67" s="190">
        <v>5.2</v>
      </c>
      <c r="X67" s="190">
        <v>7.6</v>
      </c>
      <c r="Y67" s="190">
        <v>7</v>
      </c>
      <c r="Z67" s="61">
        <v>9.6999999999999993</v>
      </c>
      <c r="AA67" s="190">
        <v>10.4</v>
      </c>
      <c r="AB67" s="190">
        <v>9.6999999999999993</v>
      </c>
      <c r="AC67" s="190">
        <v>10.7</v>
      </c>
      <c r="AD67" s="61">
        <v>8.1999999999999993</v>
      </c>
      <c r="AE67" s="190">
        <v>411.5</v>
      </c>
      <c r="AF67" s="190">
        <v>411.1</v>
      </c>
      <c r="AG67" s="193">
        <v>411.4</v>
      </c>
      <c r="AH67" s="61">
        <v>413.5</v>
      </c>
      <c r="AI67" s="190">
        <v>430.3</v>
      </c>
      <c r="AJ67" s="190">
        <v>418.8</v>
      </c>
      <c r="AK67" s="193">
        <v>420</v>
      </c>
      <c r="AL67" s="61">
        <v>432.5</v>
      </c>
      <c r="AM67" s="190">
        <v>198.7</v>
      </c>
      <c r="AN67" s="193">
        <v>201.5</v>
      </c>
      <c r="AO67" s="193">
        <v>196.8</v>
      </c>
      <c r="AP67" s="61">
        <v>201.1</v>
      </c>
      <c r="AQ67" s="190">
        <v>197.9</v>
      </c>
      <c r="AR67" s="192">
        <v>186.7</v>
      </c>
      <c r="AS67" s="193">
        <v>190.2</v>
      </c>
      <c r="AT67" s="61">
        <v>178.6</v>
      </c>
      <c r="AU67" s="190">
        <v>180.6</v>
      </c>
      <c r="AV67" s="192">
        <v>172.7</v>
      </c>
      <c r="AW67" s="190">
        <v>165.8</v>
      </c>
      <c r="AX67" s="690">
        <v>166.2</v>
      </c>
      <c r="AY67" s="190">
        <v>184.4</v>
      </c>
      <c r="AZ67" s="192">
        <v>184.6</v>
      </c>
      <c r="BA67" s="190">
        <v>180.4</v>
      </c>
      <c r="BB67" s="690">
        <v>181.9</v>
      </c>
      <c r="BC67" s="190">
        <v>176.7</v>
      </c>
      <c r="BD67" s="192"/>
      <c r="BE67" s="190"/>
      <c r="BF67" s="690"/>
      <c r="BI67" s="715"/>
    </row>
    <row r="68" spans="1:61" s="7" customFormat="1" ht="20.149999999999999" customHeight="1">
      <c r="A68" s="27" t="s">
        <v>225</v>
      </c>
      <c r="B68" s="105" t="s">
        <v>226</v>
      </c>
      <c r="C68" s="19">
        <v>0</v>
      </c>
      <c r="D68" s="19">
        <v>0</v>
      </c>
      <c r="E68" s="19">
        <v>0</v>
      </c>
      <c r="F68" s="226">
        <v>0</v>
      </c>
      <c r="G68" s="227">
        <v>0</v>
      </c>
      <c r="H68" s="227">
        <v>0</v>
      </c>
      <c r="I68" s="227">
        <v>0</v>
      </c>
      <c r="J68" s="227">
        <v>0</v>
      </c>
      <c r="K68" s="228">
        <v>0</v>
      </c>
      <c r="L68" s="208">
        <v>115.8</v>
      </c>
      <c r="M68" s="208">
        <v>113.9</v>
      </c>
      <c r="N68" s="215">
        <v>117.1</v>
      </c>
      <c r="O68" s="218">
        <v>113</v>
      </c>
      <c r="P68" s="218">
        <v>116.7</v>
      </c>
      <c r="Q68" s="208">
        <v>115.6</v>
      </c>
      <c r="R68" s="61">
        <v>117</v>
      </c>
      <c r="S68" s="190">
        <v>118</v>
      </c>
      <c r="T68" s="190">
        <v>123.1</v>
      </c>
      <c r="U68" s="190">
        <v>117.7</v>
      </c>
      <c r="V68" s="61">
        <v>121.5</v>
      </c>
      <c r="W68" s="190">
        <v>116.6</v>
      </c>
      <c r="X68" s="190">
        <v>117.6</v>
      </c>
      <c r="Y68" s="190">
        <v>117.6</v>
      </c>
      <c r="Z68" s="61">
        <v>114.5</v>
      </c>
      <c r="AA68" s="190">
        <v>116.3</v>
      </c>
      <c r="AB68" s="190">
        <v>121.3</v>
      </c>
      <c r="AC68" s="190">
        <v>116.6</v>
      </c>
      <c r="AD68" s="61">
        <v>118.1</v>
      </c>
      <c r="AE68" s="190">
        <v>118.9</v>
      </c>
      <c r="AF68" s="190">
        <v>118.3</v>
      </c>
      <c r="AG68" s="193">
        <v>119.3</v>
      </c>
      <c r="AH68" s="61">
        <v>116.9</v>
      </c>
      <c r="AI68" s="190">
        <v>125.8</v>
      </c>
      <c r="AJ68" s="190">
        <v>124.2</v>
      </c>
      <c r="AK68" s="193">
        <v>123.5</v>
      </c>
      <c r="AL68" s="61">
        <v>126.7</v>
      </c>
      <c r="AM68" s="190">
        <v>128.80000000000001</v>
      </c>
      <c r="AN68" s="193">
        <v>125.8</v>
      </c>
      <c r="AO68" s="193">
        <v>140</v>
      </c>
      <c r="AP68" s="61">
        <v>139.9</v>
      </c>
      <c r="AQ68" s="190">
        <v>142.4</v>
      </c>
      <c r="AR68" s="192">
        <v>144.19999999999999</v>
      </c>
      <c r="AS68" s="193">
        <v>0</v>
      </c>
      <c r="AT68" s="61">
        <v>0</v>
      </c>
      <c r="AU68" s="190">
        <v>0</v>
      </c>
      <c r="AV68" s="192" t="s">
        <v>197</v>
      </c>
      <c r="AW68" s="190">
        <v>0</v>
      </c>
      <c r="AX68" s="61">
        <v>0</v>
      </c>
      <c r="AY68" s="190">
        <v>0</v>
      </c>
      <c r="AZ68" s="192">
        <v>0</v>
      </c>
      <c r="BA68" s="190">
        <v>0</v>
      </c>
      <c r="BB68" s="61">
        <v>0</v>
      </c>
      <c r="BC68" s="190">
        <v>0</v>
      </c>
      <c r="BD68" s="192"/>
      <c r="BE68" s="190"/>
      <c r="BF68" s="61"/>
      <c r="BI68" s="715"/>
    </row>
    <row r="69" spans="1:61" s="7" customFormat="1" ht="20.149999999999999" customHeight="1">
      <c r="A69" s="27" t="s">
        <v>238</v>
      </c>
      <c r="B69" s="105" t="s">
        <v>239</v>
      </c>
      <c r="C69" s="19"/>
      <c r="D69" s="19"/>
      <c r="E69" s="19"/>
      <c r="F69" s="226"/>
      <c r="G69" s="227"/>
      <c r="H69" s="227"/>
      <c r="I69" s="227"/>
      <c r="J69" s="227"/>
      <c r="K69" s="228"/>
      <c r="L69" s="208"/>
      <c r="M69" s="208"/>
      <c r="N69" s="215"/>
      <c r="O69" s="218"/>
      <c r="P69" s="218"/>
      <c r="Q69" s="208"/>
      <c r="R69" s="61"/>
      <c r="S69" s="190"/>
      <c r="T69" s="190"/>
      <c r="U69" s="190"/>
      <c r="V69" s="61"/>
      <c r="W69" s="190"/>
      <c r="X69" s="190"/>
      <c r="Y69" s="190"/>
      <c r="Z69" s="61"/>
      <c r="AA69" s="193">
        <v>359</v>
      </c>
      <c r="AB69" s="190">
        <v>649.1</v>
      </c>
      <c r="AC69" s="190">
        <v>643.5</v>
      </c>
      <c r="AD69" s="61">
        <v>705.2</v>
      </c>
      <c r="AE69" s="193">
        <v>722.6</v>
      </c>
      <c r="AF69" s="190">
        <v>712.2</v>
      </c>
      <c r="AG69" s="193">
        <v>729.6</v>
      </c>
      <c r="AH69" s="61">
        <v>713.1</v>
      </c>
      <c r="AI69" s="193">
        <v>725.1</v>
      </c>
      <c r="AJ69" s="190">
        <v>686.4</v>
      </c>
      <c r="AK69" s="193">
        <v>671.7</v>
      </c>
      <c r="AL69" s="61">
        <v>675.6</v>
      </c>
      <c r="AM69" s="193">
        <v>663.1</v>
      </c>
      <c r="AN69" s="193">
        <v>646.70000000000005</v>
      </c>
      <c r="AO69" s="193">
        <v>668.3</v>
      </c>
      <c r="AP69" s="61">
        <v>650.79999999999995</v>
      </c>
      <c r="AQ69" s="193">
        <v>637.5</v>
      </c>
      <c r="AR69" s="192">
        <v>631.79999999999995</v>
      </c>
      <c r="AS69" s="193">
        <v>632.70000000000005</v>
      </c>
      <c r="AT69" s="61">
        <v>606.79999999999995</v>
      </c>
      <c r="AU69" s="193">
        <v>628.9</v>
      </c>
      <c r="AV69" s="192">
        <v>629.9</v>
      </c>
      <c r="AW69" s="192">
        <v>706.9</v>
      </c>
      <c r="AX69" s="690">
        <v>682.2</v>
      </c>
      <c r="AY69" s="193">
        <v>719.9</v>
      </c>
      <c r="AZ69" s="192">
        <v>752.2</v>
      </c>
      <c r="BA69" s="192">
        <v>770.2</v>
      </c>
      <c r="BB69" s="690">
        <v>678</v>
      </c>
      <c r="BC69" s="190">
        <v>686.9</v>
      </c>
      <c r="BD69" s="192"/>
      <c r="BE69" s="192"/>
      <c r="BF69" s="690"/>
      <c r="BI69" s="715"/>
    </row>
    <row r="70" spans="1:61" s="7" customFormat="1" ht="20.149999999999999" customHeight="1">
      <c r="A70" s="27" t="s">
        <v>240</v>
      </c>
      <c r="B70" s="105" t="s">
        <v>241</v>
      </c>
      <c r="C70" s="41">
        <f>435.427</f>
        <v>435.42700000000002</v>
      </c>
      <c r="D70" s="41">
        <f>(436188)*0.001</f>
        <v>436.18799999999999</v>
      </c>
      <c r="E70" s="41">
        <f>(441676)*0.001</f>
        <v>441.67599999999999</v>
      </c>
      <c r="F70" s="209">
        <f>(472094)*0.001</f>
        <v>472.09399999999999</v>
      </c>
      <c r="G70" s="210">
        <f>(432897)*0.001</f>
        <v>432.89699999999999</v>
      </c>
      <c r="H70" s="210">
        <f>(428004)*0.001</f>
        <v>428.00400000000002</v>
      </c>
      <c r="I70" s="210">
        <f>(390829)*0.001</f>
        <v>390.82900000000001</v>
      </c>
      <c r="J70" s="210">
        <f>(413210)*0.001</f>
        <v>413.21000000000004</v>
      </c>
      <c r="K70" s="222">
        <f>(418100)*0.001</f>
        <v>418.1</v>
      </c>
      <c r="L70" s="205">
        <v>1618.8</v>
      </c>
      <c r="M70" s="205">
        <v>1505.3</v>
      </c>
      <c r="N70" s="207">
        <v>1523</v>
      </c>
      <c r="O70" s="206">
        <v>1333.5</v>
      </c>
      <c r="P70" s="206">
        <v>1670.4</v>
      </c>
      <c r="Q70" s="205">
        <v>1431.5</v>
      </c>
      <c r="R70" s="61">
        <v>1485.4</v>
      </c>
      <c r="S70" s="193">
        <v>1711.4</v>
      </c>
      <c r="T70" s="193">
        <v>1365.9</v>
      </c>
      <c r="U70" s="193">
        <v>1338.1</v>
      </c>
      <c r="V70" s="61">
        <v>1569.5</v>
      </c>
      <c r="W70" s="193">
        <v>1337.9</v>
      </c>
      <c r="X70" s="193">
        <v>1694.4</v>
      </c>
      <c r="Y70" s="193">
        <v>1397.9</v>
      </c>
      <c r="Z70" s="61">
        <v>1727.3</v>
      </c>
      <c r="AA70" s="190">
        <v>1430.8</v>
      </c>
      <c r="AB70" s="193">
        <v>2254.9</v>
      </c>
      <c r="AC70" s="190">
        <v>2302.6999999999998</v>
      </c>
      <c r="AD70" s="61">
        <v>2382.4</v>
      </c>
      <c r="AE70" s="190">
        <v>2029.1</v>
      </c>
      <c r="AF70" s="193">
        <v>2691.7</v>
      </c>
      <c r="AG70" s="193">
        <v>2392.3000000000002</v>
      </c>
      <c r="AH70" s="61">
        <v>2420.8000000000002</v>
      </c>
      <c r="AI70" s="190">
        <v>2190</v>
      </c>
      <c r="AJ70" s="193">
        <v>2119.1999999999998</v>
      </c>
      <c r="AK70" s="193">
        <v>2744</v>
      </c>
      <c r="AL70" s="61">
        <v>2155.3000000000002</v>
      </c>
      <c r="AM70" s="190">
        <v>1855.9</v>
      </c>
      <c r="AN70" s="193">
        <v>1742.5</v>
      </c>
      <c r="AO70" s="193">
        <v>2368.1</v>
      </c>
      <c r="AP70" s="61">
        <v>2531.1999999999998</v>
      </c>
      <c r="AQ70" s="190">
        <v>2241.3000000000002</v>
      </c>
      <c r="AR70" s="192">
        <v>2461.3000000000002</v>
      </c>
      <c r="AS70" s="192">
        <v>2455.1999999999998</v>
      </c>
      <c r="AT70" s="61">
        <v>3767.1</v>
      </c>
      <c r="AU70" s="190">
        <v>2445.5</v>
      </c>
      <c r="AV70" s="192">
        <v>2642.2</v>
      </c>
      <c r="AW70" s="192">
        <v>2904.4</v>
      </c>
      <c r="AX70" s="690">
        <v>3172.6</v>
      </c>
      <c r="AY70" s="190">
        <v>2703.7</v>
      </c>
      <c r="AZ70" s="192">
        <v>2605</v>
      </c>
      <c r="BA70" s="192">
        <v>2881.7</v>
      </c>
      <c r="BB70" s="690">
        <v>3090.9</v>
      </c>
      <c r="BC70" s="190">
        <v>2854.9</v>
      </c>
      <c r="BD70" s="192"/>
      <c r="BE70" s="192"/>
      <c r="BF70" s="690"/>
      <c r="BG70" s="715"/>
      <c r="BI70" s="715"/>
    </row>
    <row r="71" spans="1:61" s="15" customFormat="1" ht="20.149999999999999" customHeight="1">
      <c r="A71" s="29" t="s">
        <v>233</v>
      </c>
      <c r="B71" s="109" t="s">
        <v>234</v>
      </c>
      <c r="C71" s="23">
        <v>0</v>
      </c>
      <c r="D71" s="23">
        <v>0</v>
      </c>
      <c r="E71" s="23">
        <v>0</v>
      </c>
      <c r="F71" s="188">
        <v>0</v>
      </c>
      <c r="G71" s="60">
        <v>0</v>
      </c>
      <c r="H71" s="60">
        <v>0</v>
      </c>
      <c r="I71" s="60">
        <v>0</v>
      </c>
      <c r="J71" s="223">
        <v>12</v>
      </c>
      <c r="K71" s="229">
        <v>0</v>
      </c>
      <c r="L71" s="60">
        <v>0</v>
      </c>
      <c r="M71" s="60">
        <v>0</v>
      </c>
      <c r="N71" s="223">
        <v>87</v>
      </c>
      <c r="O71" s="224">
        <v>99.7</v>
      </c>
      <c r="P71" s="224">
        <v>79</v>
      </c>
      <c r="Q71" s="230">
        <v>57.1</v>
      </c>
      <c r="R71" s="194">
        <v>72.900000000000006</v>
      </c>
      <c r="S71" s="173">
        <v>25.8</v>
      </c>
      <c r="T71" s="173">
        <v>3.5</v>
      </c>
      <c r="U71" s="173">
        <v>1.8</v>
      </c>
      <c r="V71" s="194">
        <v>0</v>
      </c>
      <c r="W71" s="173">
        <v>1.5</v>
      </c>
      <c r="X71" s="173">
        <v>0.6</v>
      </c>
      <c r="Y71" s="173">
        <v>0.5</v>
      </c>
      <c r="Z71" s="194">
        <v>3.6</v>
      </c>
      <c r="AA71" s="173">
        <v>2.8</v>
      </c>
      <c r="AB71" s="173">
        <v>4.2</v>
      </c>
      <c r="AC71" s="173">
        <v>5.5</v>
      </c>
      <c r="AD71" s="194">
        <v>8.8000000000000007</v>
      </c>
      <c r="AE71" s="173">
        <v>9.1</v>
      </c>
      <c r="AF71" s="173">
        <v>9</v>
      </c>
      <c r="AG71" s="174">
        <v>7.5</v>
      </c>
      <c r="AH71" s="194">
        <v>8.3000000000000007</v>
      </c>
      <c r="AI71" s="173">
        <v>37.799999999999997</v>
      </c>
      <c r="AJ71" s="173">
        <v>51.1</v>
      </c>
      <c r="AK71" s="174">
        <v>45.1</v>
      </c>
      <c r="AL71" s="194">
        <v>39.200000000000003</v>
      </c>
      <c r="AM71" s="173">
        <v>31.3</v>
      </c>
      <c r="AN71" s="174">
        <v>24.4</v>
      </c>
      <c r="AO71" s="174">
        <v>14.2</v>
      </c>
      <c r="AP71" s="194">
        <v>0</v>
      </c>
      <c r="AQ71" s="173">
        <v>0</v>
      </c>
      <c r="AR71" s="669">
        <v>0</v>
      </c>
      <c r="AS71" s="174">
        <v>0</v>
      </c>
      <c r="AT71" s="687">
        <v>2.1</v>
      </c>
      <c r="AU71" s="173">
        <v>0.5</v>
      </c>
      <c r="AV71" s="669">
        <v>9.6</v>
      </c>
      <c r="AW71" s="669">
        <v>28.6</v>
      </c>
      <c r="AX71" s="194">
        <v>20.2</v>
      </c>
      <c r="AY71" s="173">
        <v>13.3</v>
      </c>
      <c r="AZ71" s="669">
        <v>9.1</v>
      </c>
      <c r="BA71" s="669">
        <v>8.3000000000000007</v>
      </c>
      <c r="BB71" s="194">
        <v>8.1999999999999993</v>
      </c>
      <c r="BC71" s="173">
        <v>7.3</v>
      </c>
      <c r="BD71" s="669"/>
      <c r="BE71" s="669"/>
      <c r="BF71" s="194"/>
      <c r="BI71" s="715"/>
    </row>
    <row r="72" spans="1:61" s="15" customFormat="1">
      <c r="A72" s="154" t="s">
        <v>242</v>
      </c>
      <c r="B72" s="171" t="s">
        <v>243</v>
      </c>
      <c r="C72" s="23"/>
      <c r="D72" s="23"/>
      <c r="E72" s="23"/>
      <c r="F72" s="188"/>
      <c r="G72" s="60"/>
      <c r="H72" s="60"/>
      <c r="I72" s="60"/>
      <c r="J72" s="224"/>
      <c r="K72" s="229"/>
      <c r="L72" s="60"/>
      <c r="M72" s="60"/>
      <c r="N72" s="223"/>
      <c r="O72" s="224"/>
      <c r="P72" s="224"/>
      <c r="Q72" s="230"/>
      <c r="R72" s="194"/>
      <c r="S72" s="173"/>
      <c r="T72" s="173"/>
      <c r="U72" s="173"/>
      <c r="V72" s="194"/>
      <c r="W72" s="173"/>
      <c r="X72" s="173"/>
      <c r="Y72" s="173"/>
      <c r="Z72" s="194"/>
      <c r="AA72" s="173"/>
      <c r="AB72" s="173"/>
      <c r="AC72" s="190"/>
      <c r="AD72" s="194"/>
      <c r="AE72" s="173"/>
      <c r="AF72" s="173"/>
      <c r="AG72" s="174"/>
      <c r="AH72" s="61"/>
      <c r="AI72" s="173"/>
      <c r="AJ72" s="173"/>
      <c r="AK72" s="174"/>
      <c r="AL72" s="61">
        <v>415.7</v>
      </c>
      <c r="AM72" s="173">
        <v>0</v>
      </c>
      <c r="AN72" s="193">
        <v>767.5</v>
      </c>
      <c r="AO72" s="193">
        <v>511.7</v>
      </c>
      <c r="AP72" s="61">
        <v>0</v>
      </c>
      <c r="AQ72" s="173">
        <v>0</v>
      </c>
      <c r="AR72" s="192">
        <v>660.8</v>
      </c>
      <c r="AS72" s="193">
        <v>660.8</v>
      </c>
      <c r="AT72" s="61">
        <v>0</v>
      </c>
      <c r="AU72" s="173">
        <v>0</v>
      </c>
      <c r="AV72" s="192">
        <v>0</v>
      </c>
      <c r="AW72" s="192">
        <v>0</v>
      </c>
      <c r="AX72" s="61">
        <v>0</v>
      </c>
      <c r="AY72" s="173">
        <v>0</v>
      </c>
      <c r="AZ72" s="192">
        <v>0</v>
      </c>
      <c r="BA72" s="192">
        <v>0</v>
      </c>
      <c r="BB72" s="61">
        <v>0</v>
      </c>
      <c r="BC72" s="173">
        <v>0</v>
      </c>
      <c r="BD72" s="192"/>
      <c r="BE72" s="192"/>
      <c r="BF72" s="61"/>
      <c r="BI72" s="715"/>
    </row>
    <row r="73" spans="1:61" s="15" customFormat="1" ht="20.149999999999999" customHeight="1">
      <c r="A73" s="27" t="s">
        <v>244</v>
      </c>
      <c r="B73" s="105" t="s">
        <v>245</v>
      </c>
      <c r="C73" s="23"/>
      <c r="D73" s="23"/>
      <c r="E73" s="23"/>
      <c r="F73" s="188"/>
      <c r="G73" s="60"/>
      <c r="H73" s="60"/>
      <c r="I73" s="60"/>
      <c r="J73" s="224"/>
      <c r="K73" s="229"/>
      <c r="L73" s="60"/>
      <c r="M73" s="60"/>
      <c r="N73" s="223"/>
      <c r="O73" s="224"/>
      <c r="P73" s="224"/>
      <c r="Q73" s="230"/>
      <c r="R73" s="194"/>
      <c r="S73" s="173"/>
      <c r="T73" s="173"/>
      <c r="U73" s="173"/>
      <c r="V73" s="194"/>
      <c r="W73" s="173"/>
      <c r="X73" s="173"/>
      <c r="Y73" s="173"/>
      <c r="Z73" s="194"/>
      <c r="AA73" s="173"/>
      <c r="AB73" s="173"/>
      <c r="AC73" s="190"/>
      <c r="AD73" s="194"/>
      <c r="AE73" s="173"/>
      <c r="AF73" s="173"/>
      <c r="AG73" s="174"/>
      <c r="AH73" s="61"/>
      <c r="AI73" s="173"/>
      <c r="AJ73" s="173"/>
      <c r="AK73" s="174"/>
      <c r="AL73" s="61">
        <v>548</v>
      </c>
      <c r="AM73" s="173">
        <v>0</v>
      </c>
      <c r="AN73" s="174">
        <v>0</v>
      </c>
      <c r="AO73" s="174">
        <v>0</v>
      </c>
      <c r="AP73" s="61">
        <v>0</v>
      </c>
      <c r="AQ73" s="173">
        <v>0</v>
      </c>
      <c r="AR73" s="669">
        <v>0</v>
      </c>
      <c r="AS73" s="669">
        <v>0</v>
      </c>
      <c r="AT73" s="61">
        <v>0</v>
      </c>
      <c r="AU73" s="173">
        <v>0</v>
      </c>
      <c r="AV73" s="669">
        <v>0</v>
      </c>
      <c r="AW73" s="669">
        <v>0</v>
      </c>
      <c r="AX73" s="61">
        <v>0</v>
      </c>
      <c r="AY73" s="173">
        <v>0</v>
      </c>
      <c r="AZ73" s="669">
        <v>0</v>
      </c>
      <c r="BA73" s="669">
        <v>0</v>
      </c>
      <c r="BB73" s="61">
        <v>0</v>
      </c>
      <c r="BC73" s="173">
        <v>0</v>
      </c>
      <c r="BD73" s="669"/>
      <c r="BE73" s="669"/>
      <c r="BF73" s="61"/>
      <c r="BI73" s="715"/>
    </row>
    <row r="74" spans="1:61" s="7" customFormat="1" ht="20.149999999999999" customHeight="1">
      <c r="A74" s="27" t="s">
        <v>246</v>
      </c>
      <c r="B74" s="105" t="s">
        <v>247</v>
      </c>
      <c r="C74" s="41">
        <f>29.589</f>
        <v>29.588999999999999</v>
      </c>
      <c r="D74" s="41">
        <f>(7799)*0.001</f>
        <v>7.7990000000000004</v>
      </c>
      <c r="E74" s="41">
        <f>(6782)*0.001</f>
        <v>6.782</v>
      </c>
      <c r="F74" s="209">
        <f>(7092)*0.001</f>
        <v>7.0920000000000005</v>
      </c>
      <c r="G74" s="210">
        <f>(1990)*0.001</f>
        <v>1.99</v>
      </c>
      <c r="H74" s="210">
        <f>(6510)*0.001</f>
        <v>6.51</v>
      </c>
      <c r="I74" s="210">
        <f>(14152)*0.001</f>
        <v>14.152000000000001</v>
      </c>
      <c r="J74" s="210">
        <f>(4520)*0.001</f>
        <v>4.5200000000000005</v>
      </c>
      <c r="K74" s="222">
        <f>(12203)*0.001</f>
        <v>12.202999999999999</v>
      </c>
      <c r="L74" s="208">
        <v>43.7</v>
      </c>
      <c r="M74" s="208">
        <v>22.1</v>
      </c>
      <c r="N74" s="215">
        <v>48.028993427171699</v>
      </c>
      <c r="O74" s="218">
        <v>22.5</v>
      </c>
      <c r="P74" s="218">
        <v>132.69999999999999</v>
      </c>
      <c r="Q74" s="208">
        <v>96.3</v>
      </c>
      <c r="R74" s="61">
        <v>176.1</v>
      </c>
      <c r="S74" s="190">
        <v>29.2</v>
      </c>
      <c r="T74" s="190">
        <v>39.1</v>
      </c>
      <c r="U74" s="190">
        <v>21.967722325707697</v>
      </c>
      <c r="V74" s="61">
        <v>24.9</v>
      </c>
      <c r="W74" s="190">
        <v>4.3</v>
      </c>
      <c r="X74" s="190">
        <v>24.9</v>
      </c>
      <c r="Y74" s="190">
        <v>17.5</v>
      </c>
      <c r="Z74" s="61">
        <v>61.3</v>
      </c>
      <c r="AA74" s="190">
        <v>60.1</v>
      </c>
      <c r="AB74" s="190">
        <v>44.9</v>
      </c>
      <c r="AC74" s="190">
        <v>62.3</v>
      </c>
      <c r="AD74" s="61">
        <v>151.1</v>
      </c>
      <c r="AE74" s="190">
        <v>191.1</v>
      </c>
      <c r="AF74" s="190">
        <v>154.30000000000001</v>
      </c>
      <c r="AG74" s="193">
        <v>192.4</v>
      </c>
      <c r="AH74" s="61">
        <v>276.60000000000002</v>
      </c>
      <c r="AI74" s="190">
        <v>335.6</v>
      </c>
      <c r="AJ74" s="190">
        <v>126.1</v>
      </c>
      <c r="AK74" s="193">
        <v>100.2</v>
      </c>
      <c r="AL74" s="61">
        <v>128.9</v>
      </c>
      <c r="AM74" s="190">
        <v>171</v>
      </c>
      <c r="AN74" s="193">
        <v>65</v>
      </c>
      <c r="AO74" s="193">
        <v>954.6</v>
      </c>
      <c r="AP74" s="61">
        <v>964.2</v>
      </c>
      <c r="AQ74" s="190">
        <v>1007</v>
      </c>
      <c r="AR74" s="192">
        <v>91.5</v>
      </c>
      <c r="AS74" s="192">
        <v>107.9</v>
      </c>
      <c r="AT74" s="689">
        <v>74.3</v>
      </c>
      <c r="AU74" s="190">
        <v>81.400000000000006</v>
      </c>
      <c r="AV74" s="192">
        <v>20.7</v>
      </c>
      <c r="AW74" s="192">
        <v>60.1</v>
      </c>
      <c r="AX74" s="689">
        <v>31.4</v>
      </c>
      <c r="AY74" s="190">
        <v>19.899999999999999</v>
      </c>
      <c r="AZ74" s="192">
        <v>32</v>
      </c>
      <c r="BA74" s="192">
        <v>45</v>
      </c>
      <c r="BB74" s="689">
        <v>60.5</v>
      </c>
      <c r="BC74" s="190">
        <v>46.5</v>
      </c>
      <c r="BD74" s="192"/>
      <c r="BE74" s="192"/>
      <c r="BF74" s="689"/>
      <c r="BI74" s="715"/>
    </row>
    <row r="75" spans="1:61" s="7" customFormat="1" ht="20.149999999999999" customHeight="1">
      <c r="A75" s="27" t="s">
        <v>248</v>
      </c>
      <c r="B75" s="105" t="s">
        <v>249</v>
      </c>
      <c r="C75" s="41">
        <f>12.532</f>
        <v>12.532</v>
      </c>
      <c r="D75" s="41">
        <f>(12125)*0.001</f>
        <v>12.125</v>
      </c>
      <c r="E75" s="41">
        <f>(12084)*0.001</f>
        <v>12.084</v>
      </c>
      <c r="F75" s="209">
        <f>(13259)*0.001</f>
        <v>13.259</v>
      </c>
      <c r="G75" s="210">
        <f>(13182)*0.001</f>
        <v>13.182</v>
      </c>
      <c r="H75" s="210">
        <f>(12551)*0.001</f>
        <v>12.551</v>
      </c>
      <c r="I75" s="210">
        <f>(12536)*0.001</f>
        <v>12.536</v>
      </c>
      <c r="J75" s="210">
        <f>(2727)*0.001</f>
        <v>2.7269999999999999</v>
      </c>
      <c r="K75" s="222">
        <f>(2843)*0.001</f>
        <v>2.843</v>
      </c>
      <c r="L75" s="208">
        <v>2.6</v>
      </c>
      <c r="M75" s="208">
        <v>2.7</v>
      </c>
      <c r="N75" s="215">
        <v>1.4</v>
      </c>
      <c r="O75" s="218">
        <v>1.4</v>
      </c>
      <c r="P75" s="231" t="s">
        <v>250</v>
      </c>
      <c r="Q75" s="231" t="s">
        <v>250</v>
      </c>
      <c r="R75" s="195" t="s">
        <v>250</v>
      </c>
      <c r="S75" s="196" t="s">
        <v>250</v>
      </c>
      <c r="T75" s="196" t="s">
        <v>250</v>
      </c>
      <c r="U75" s="196" t="s">
        <v>250</v>
      </c>
      <c r="V75" s="195" t="s">
        <v>250</v>
      </c>
      <c r="W75" s="196" t="s">
        <v>250</v>
      </c>
      <c r="X75" s="196" t="s">
        <v>250</v>
      </c>
      <c r="Y75" s="196" t="s">
        <v>250</v>
      </c>
      <c r="Z75" s="195" t="s">
        <v>250</v>
      </c>
      <c r="AA75" s="196" t="s">
        <v>250</v>
      </c>
      <c r="AB75" s="196" t="s">
        <v>250</v>
      </c>
      <c r="AC75" s="196" t="s">
        <v>250</v>
      </c>
      <c r="AD75" s="195" t="s">
        <v>250</v>
      </c>
      <c r="AE75" s="196" t="s">
        <v>250</v>
      </c>
      <c r="AF75" s="196" t="s">
        <v>250</v>
      </c>
      <c r="AG75" s="196" t="s">
        <v>250</v>
      </c>
      <c r="AH75" s="195" t="s">
        <v>250</v>
      </c>
      <c r="AI75" s="196" t="s">
        <v>250</v>
      </c>
      <c r="AJ75" s="196" t="s">
        <v>250</v>
      </c>
      <c r="AK75" s="196" t="s">
        <v>250</v>
      </c>
      <c r="AL75" s="195" t="s">
        <v>250</v>
      </c>
      <c r="AM75" s="196" t="s">
        <v>250</v>
      </c>
      <c r="AN75" s="196" t="s">
        <v>250</v>
      </c>
      <c r="AO75" s="196" t="s">
        <v>250</v>
      </c>
      <c r="AP75" s="195" t="s">
        <v>250</v>
      </c>
      <c r="AQ75" s="196" t="s">
        <v>250</v>
      </c>
      <c r="AR75" s="670" t="s">
        <v>250</v>
      </c>
      <c r="AS75" s="196" t="s">
        <v>250</v>
      </c>
      <c r="AT75" s="195" t="s">
        <v>250</v>
      </c>
      <c r="AU75" s="196" t="s">
        <v>250</v>
      </c>
      <c r="AV75" s="670" t="s">
        <v>250</v>
      </c>
      <c r="AW75" s="670" t="s">
        <v>250</v>
      </c>
      <c r="AX75" s="195" t="s">
        <v>250</v>
      </c>
      <c r="AY75" s="196" t="s">
        <v>250</v>
      </c>
      <c r="AZ75" s="670" t="s">
        <v>250</v>
      </c>
      <c r="BA75" s="670" t="s">
        <v>250</v>
      </c>
      <c r="BB75" s="195" t="s">
        <v>250</v>
      </c>
      <c r="BC75" s="196" t="s">
        <v>250</v>
      </c>
      <c r="BD75" s="670" t="s">
        <v>250</v>
      </c>
      <c r="BE75" s="670" t="s">
        <v>250</v>
      </c>
      <c r="BF75" s="195" t="s">
        <v>250</v>
      </c>
      <c r="BI75" s="715"/>
    </row>
    <row r="76" spans="1:61" s="7" customFormat="1" ht="20.149999999999999" customHeight="1" thickBot="1">
      <c r="A76" s="27" t="s">
        <v>229</v>
      </c>
      <c r="B76" s="105" t="s">
        <v>230</v>
      </c>
      <c r="C76" s="41">
        <f>188.402</f>
        <v>188.40199999999999</v>
      </c>
      <c r="D76" s="41">
        <f>(209950)*0.001</f>
        <v>209.95000000000002</v>
      </c>
      <c r="E76" s="41">
        <f>(210563)*0.001</f>
        <v>210.56300000000002</v>
      </c>
      <c r="F76" s="209">
        <f>(201238)*0.001</f>
        <v>201.238</v>
      </c>
      <c r="G76" s="210">
        <f>(207890)*0.001</f>
        <v>207.89000000000001</v>
      </c>
      <c r="H76" s="210">
        <f>(204442)*0.001</f>
        <v>204.44200000000001</v>
      </c>
      <c r="I76" s="210">
        <f>(210688)*0.001</f>
        <v>210.68800000000002</v>
      </c>
      <c r="J76" s="210">
        <f>(209485)*0.001</f>
        <v>209.48500000000001</v>
      </c>
      <c r="K76" s="222">
        <f>(228170)*0.001</f>
        <v>228.17000000000002</v>
      </c>
      <c r="L76" s="208">
        <v>678</v>
      </c>
      <c r="M76" s="208">
        <v>672.7</v>
      </c>
      <c r="N76" s="215">
        <v>683.9</v>
      </c>
      <c r="O76" s="218">
        <v>670.3</v>
      </c>
      <c r="P76" s="218">
        <v>672</v>
      </c>
      <c r="Q76" s="208">
        <v>680.9</v>
      </c>
      <c r="R76" s="61">
        <v>676.1</v>
      </c>
      <c r="S76" s="190">
        <v>665</v>
      </c>
      <c r="T76" s="190">
        <v>676.8</v>
      </c>
      <c r="U76" s="190">
        <v>660.84343092999995</v>
      </c>
      <c r="V76" s="61">
        <v>647.9</v>
      </c>
      <c r="W76" s="190">
        <v>633.79999999999995</v>
      </c>
      <c r="X76" s="190">
        <v>637.29999999999995</v>
      </c>
      <c r="Y76" s="190">
        <v>629.5</v>
      </c>
      <c r="Z76" s="61">
        <v>618.29999999999995</v>
      </c>
      <c r="AA76" s="190">
        <v>356</v>
      </c>
      <c r="AB76" s="190">
        <v>39.799999999999997</v>
      </c>
      <c r="AC76" s="190">
        <v>65</v>
      </c>
      <c r="AD76" s="61">
        <v>0</v>
      </c>
      <c r="AE76" s="190">
        <v>0</v>
      </c>
      <c r="AF76" s="190">
        <v>0</v>
      </c>
      <c r="AG76" s="190">
        <v>0</v>
      </c>
      <c r="AH76" s="61">
        <v>0</v>
      </c>
      <c r="AI76" s="190">
        <v>0</v>
      </c>
      <c r="AJ76" s="190">
        <v>0</v>
      </c>
      <c r="AK76" s="190">
        <v>0</v>
      </c>
      <c r="AL76" s="61">
        <v>0</v>
      </c>
      <c r="AM76" s="190">
        <v>0</v>
      </c>
      <c r="AN76" s="190">
        <v>0</v>
      </c>
      <c r="AO76" s="190">
        <v>0</v>
      </c>
      <c r="AP76" s="61">
        <v>0</v>
      </c>
      <c r="AQ76" s="190">
        <v>0</v>
      </c>
      <c r="AR76" s="668">
        <v>0</v>
      </c>
      <c r="AS76" s="190">
        <v>0</v>
      </c>
      <c r="AT76" s="61">
        <v>0</v>
      </c>
      <c r="AU76" s="190">
        <v>0</v>
      </c>
      <c r="AV76" s="668">
        <v>0</v>
      </c>
      <c r="AW76" s="668">
        <v>0</v>
      </c>
      <c r="AX76" s="61">
        <v>0</v>
      </c>
      <c r="AY76" s="190">
        <v>0</v>
      </c>
      <c r="AZ76" s="668">
        <v>0</v>
      </c>
      <c r="BA76" s="668">
        <v>0</v>
      </c>
      <c r="BB76" s="61">
        <v>0</v>
      </c>
      <c r="BC76" s="190">
        <v>0</v>
      </c>
      <c r="BD76" s="668">
        <v>0</v>
      </c>
      <c r="BE76" s="668">
        <v>0</v>
      </c>
      <c r="BF76" s="61">
        <v>0</v>
      </c>
      <c r="BG76" s="715"/>
      <c r="BH76" s="715"/>
      <c r="BI76" s="715"/>
    </row>
    <row r="77" spans="1:61" s="199" customFormat="1" ht="25.2" customHeight="1" thickBot="1">
      <c r="A77" s="373" t="s">
        <v>251</v>
      </c>
      <c r="B77" s="377" t="s">
        <v>252</v>
      </c>
      <c r="C77" s="374">
        <f t="shared" ref="C77:M77" si="36">SUM(C65:C76)</f>
        <v>1017.386</v>
      </c>
      <c r="D77" s="375">
        <f t="shared" si="36"/>
        <v>1033.443</v>
      </c>
      <c r="E77" s="375">
        <f t="shared" si="36"/>
        <v>1009.7019999999999</v>
      </c>
      <c r="F77" s="376">
        <f t="shared" si="36"/>
        <v>1066.78</v>
      </c>
      <c r="G77" s="375">
        <f t="shared" si="36"/>
        <v>1007.745</v>
      </c>
      <c r="H77" s="375">
        <f t="shared" si="36"/>
        <v>1018.1</v>
      </c>
      <c r="I77" s="375">
        <f t="shared" si="36"/>
        <v>945.28899999999999</v>
      </c>
      <c r="J77" s="376">
        <f t="shared" si="36"/>
        <v>986.83100000000002</v>
      </c>
      <c r="K77" s="374">
        <f t="shared" si="36"/>
        <v>1003.5449999999998</v>
      </c>
      <c r="L77" s="375">
        <f t="shared" si="36"/>
        <v>3990.3999999999992</v>
      </c>
      <c r="M77" s="375">
        <f t="shared" si="36"/>
        <v>4126.7</v>
      </c>
      <c r="N77" s="376">
        <f t="shared" ref="N77:U77" si="37">SUM(N65:N76)-N71</f>
        <v>4167.2289934271712</v>
      </c>
      <c r="O77" s="374">
        <f t="shared" si="37"/>
        <v>4149.8</v>
      </c>
      <c r="P77" s="375">
        <f t="shared" si="37"/>
        <v>4244.8</v>
      </c>
      <c r="Q77" s="375">
        <f t="shared" si="37"/>
        <v>7899.8</v>
      </c>
      <c r="R77" s="376">
        <f t="shared" si="37"/>
        <v>8466.5000000000018</v>
      </c>
      <c r="S77" s="374">
        <f t="shared" si="37"/>
        <v>4162.5999999999995</v>
      </c>
      <c r="T77" s="375">
        <f t="shared" si="37"/>
        <v>3503.3999999999996</v>
      </c>
      <c r="U77" s="375">
        <f t="shared" si="37"/>
        <v>3454.8111532557077</v>
      </c>
      <c r="V77" s="376">
        <f t="shared" ref="V77" si="38">SUM(V65:V76)-V71</f>
        <v>3681.2000000000003</v>
      </c>
      <c r="W77" s="374">
        <f t="shared" ref="W77:X77" si="39">SUM(W65:W76)-W71</f>
        <v>4366</v>
      </c>
      <c r="X77" s="375">
        <f t="shared" si="39"/>
        <v>4330.2</v>
      </c>
      <c r="Y77" s="375">
        <f t="shared" ref="Y77:Z77" si="40">SUM(Y65:Y76)-Y71</f>
        <v>4036.3999999999996</v>
      </c>
      <c r="Z77" s="376">
        <f t="shared" si="40"/>
        <v>3915.5000000000005</v>
      </c>
      <c r="AA77" s="374">
        <f t="shared" ref="AA77:AH77" si="41">SUM(AA65:AA76)-AA71</f>
        <v>2927.4</v>
      </c>
      <c r="AB77" s="375">
        <f t="shared" si="41"/>
        <v>4236.8</v>
      </c>
      <c r="AC77" s="375">
        <f t="shared" si="41"/>
        <v>4611.5</v>
      </c>
      <c r="AD77" s="376">
        <f t="shared" si="41"/>
        <v>5018.6000000000004</v>
      </c>
      <c r="AE77" s="374">
        <f t="shared" si="41"/>
        <v>4813.3000000000011</v>
      </c>
      <c r="AF77" s="375">
        <f t="shared" si="41"/>
        <v>5401.4000000000005</v>
      </c>
      <c r="AG77" s="375">
        <f t="shared" si="41"/>
        <v>5628.6</v>
      </c>
      <c r="AH77" s="376">
        <f t="shared" si="41"/>
        <v>5868.2000000000007</v>
      </c>
      <c r="AI77" s="374">
        <f t="shared" ref="AI77:AK77" si="42">SUM(AI65:AI76)-AI71</f>
        <v>5111.5</v>
      </c>
      <c r="AJ77" s="375">
        <f t="shared" si="42"/>
        <v>3888.2</v>
      </c>
      <c r="AK77" s="375">
        <f t="shared" si="42"/>
        <v>4658</v>
      </c>
      <c r="AL77" s="376">
        <f>SUM(AL65:AL76)-AL71</f>
        <v>5274.4</v>
      </c>
      <c r="AM77" s="374">
        <f t="shared" ref="AM77:AO77" si="43">SUM(AM65:AM76)-AM71</f>
        <v>4003.5</v>
      </c>
      <c r="AN77" s="375">
        <f t="shared" si="43"/>
        <v>4641</v>
      </c>
      <c r="AO77" s="375">
        <f t="shared" si="43"/>
        <v>6803.2</v>
      </c>
      <c r="AP77" s="376">
        <f>SUM(AP65:AP76)-AP71</f>
        <v>5626.3</v>
      </c>
      <c r="AQ77" s="374">
        <f t="shared" ref="AQ77:AS77" si="44">SUM(AQ65:AQ76)-AQ71</f>
        <v>5549</v>
      </c>
      <c r="AR77" s="666">
        <f>SUM(AR65:AR76)-AR71</f>
        <v>5682.5000000000009</v>
      </c>
      <c r="AS77" s="375">
        <f t="shared" si="44"/>
        <v>5573.9</v>
      </c>
      <c r="AT77" s="688">
        <f>SUM(AT65:AT76)-AT71</f>
        <v>6315.4000000000005</v>
      </c>
      <c r="AU77" s="374">
        <f t="shared" ref="AU77" si="45">SUM(AU65:AU76)-AU71</f>
        <v>6030.7</v>
      </c>
      <c r="AV77" s="375">
        <f>SUM(AV65:AV76)-AV71</f>
        <v>5624.9</v>
      </c>
      <c r="AW77" s="375">
        <f>SUM(AW65:AW76)-AW71</f>
        <v>6756.3000000000011</v>
      </c>
      <c r="AX77" s="688">
        <f>SUM(AX65:AX76)-AX71</f>
        <v>5515.7999999999993</v>
      </c>
      <c r="AY77" s="374">
        <f t="shared" ref="AY77:BB77" si="46">SUM(AY65:AY76)-AY71</f>
        <v>5176.8999999999996</v>
      </c>
      <c r="AZ77" s="375">
        <f t="shared" si="46"/>
        <v>5289.2</v>
      </c>
      <c r="BA77" s="375">
        <f t="shared" si="46"/>
        <v>5528.8</v>
      </c>
      <c r="BB77" s="688">
        <f t="shared" si="46"/>
        <v>5693.3</v>
      </c>
      <c r="BC77" s="374">
        <f t="shared" ref="BC77" si="47">SUM(BC65:BC76)-BC71</f>
        <v>4891.3999999999996</v>
      </c>
      <c r="BD77" s="375"/>
      <c r="BE77" s="375"/>
      <c r="BF77" s="688"/>
      <c r="BG77" s="776"/>
      <c r="BH77" s="732"/>
    </row>
    <row r="78" spans="1:61" s="7" customFormat="1" ht="20.149999999999999" customHeight="1">
      <c r="A78" s="198" t="s">
        <v>253</v>
      </c>
      <c r="B78" s="181" t="s">
        <v>254</v>
      </c>
      <c r="C78" s="41"/>
      <c r="D78" s="41"/>
      <c r="E78" s="41"/>
      <c r="F78" s="209"/>
      <c r="G78" s="210"/>
      <c r="H78" s="210"/>
      <c r="I78" s="210"/>
      <c r="J78" s="210"/>
      <c r="K78" s="222"/>
      <c r="L78" s="208"/>
      <c r="M78" s="208"/>
      <c r="N78" s="215"/>
      <c r="O78" s="218"/>
      <c r="P78" s="231"/>
      <c r="Q78" s="231"/>
      <c r="R78" s="195"/>
      <c r="S78" s="196"/>
      <c r="T78" s="196"/>
      <c r="U78" s="196"/>
      <c r="V78" s="195"/>
      <c r="W78" s="196"/>
      <c r="X78" s="196"/>
      <c r="Y78" s="196"/>
      <c r="Z78" s="195"/>
      <c r="AA78" s="196"/>
      <c r="AB78" s="196"/>
      <c r="AC78" s="196"/>
      <c r="AD78" s="195"/>
      <c r="AE78" s="196"/>
      <c r="AF78" s="196"/>
      <c r="AG78" s="196"/>
      <c r="AH78" s="195"/>
      <c r="AI78" s="196"/>
      <c r="AJ78" s="196"/>
      <c r="AK78" s="196"/>
      <c r="AL78" s="195"/>
      <c r="AM78" s="190">
        <v>1284.2</v>
      </c>
      <c r="AN78" s="190">
        <v>1223.8</v>
      </c>
      <c r="AO78" s="190">
        <v>0</v>
      </c>
      <c r="AP78" s="195"/>
      <c r="AQ78" s="190"/>
      <c r="AR78" s="668"/>
      <c r="AS78" s="190"/>
      <c r="AT78" s="195"/>
      <c r="AU78" s="730"/>
      <c r="AV78" s="668"/>
      <c r="AW78" s="190"/>
      <c r="AX78" s="689">
        <v>0.8</v>
      </c>
      <c r="AY78" s="730"/>
      <c r="AZ78" s="668"/>
      <c r="BA78" s="190"/>
      <c r="BB78" s="689"/>
      <c r="BC78" s="730"/>
      <c r="BD78" s="668"/>
      <c r="BE78" s="190"/>
      <c r="BF78" s="689"/>
    </row>
    <row r="79" spans="1:61" s="7" customFormat="1" ht="20.149999999999999" customHeight="1" thickBot="1">
      <c r="A79" s="368" t="s">
        <v>255</v>
      </c>
      <c r="B79" s="369" t="s">
        <v>256</v>
      </c>
      <c r="C79" s="41"/>
      <c r="D79" s="41"/>
      <c r="E79" s="41"/>
      <c r="F79" s="209"/>
      <c r="G79" s="210"/>
      <c r="H79" s="210"/>
      <c r="I79" s="210"/>
      <c r="J79" s="210"/>
      <c r="K79" s="222"/>
      <c r="L79" s="208"/>
      <c r="M79" s="208"/>
      <c r="N79" s="215"/>
      <c r="O79" s="218"/>
      <c r="P79" s="231"/>
      <c r="Q79" s="231"/>
      <c r="R79" s="195"/>
      <c r="S79" s="196"/>
      <c r="T79" s="196"/>
      <c r="U79" s="196"/>
      <c r="V79" s="195"/>
      <c r="W79" s="196"/>
      <c r="X79" s="196"/>
      <c r="Y79" s="196"/>
      <c r="Z79" s="195"/>
      <c r="AA79" s="196"/>
      <c r="AB79" s="196"/>
      <c r="AC79" s="196"/>
      <c r="AD79" s="195"/>
      <c r="AE79" s="196"/>
      <c r="AF79" s="196"/>
      <c r="AG79" s="196"/>
      <c r="AH79" s="195"/>
      <c r="AI79" s="196"/>
      <c r="AJ79" s="196"/>
      <c r="AK79" s="196"/>
      <c r="AL79" s="195"/>
      <c r="AM79" s="173">
        <v>803.1</v>
      </c>
      <c r="AN79" s="173">
        <v>769.4</v>
      </c>
      <c r="AO79" s="173">
        <v>0</v>
      </c>
      <c r="AP79" s="195"/>
      <c r="AQ79" s="173"/>
      <c r="AR79" s="665"/>
      <c r="AS79" s="173"/>
      <c r="AT79" s="195"/>
      <c r="AU79" s="731"/>
      <c r="AV79" s="665"/>
      <c r="AW79" s="173"/>
      <c r="AX79" s="195"/>
      <c r="AY79" s="731"/>
      <c r="AZ79" s="665"/>
      <c r="BA79" s="173"/>
      <c r="BB79" s="195"/>
      <c r="BC79" s="731"/>
      <c r="BD79" s="665"/>
      <c r="BE79" s="173"/>
      <c r="BF79" s="195"/>
    </row>
    <row r="80" spans="1:61" s="199" customFormat="1" ht="25.2" customHeight="1" thickBot="1">
      <c r="A80" s="373" t="s">
        <v>257</v>
      </c>
      <c r="B80" s="377" t="s">
        <v>258</v>
      </c>
      <c r="C80" s="374" t="e">
        <f>C64+C77</f>
        <v>#VALUE!</v>
      </c>
      <c r="D80" s="375">
        <f>D64+D77</f>
        <v>3405.5320000000002</v>
      </c>
      <c r="E80" s="375">
        <f>E64+E77</f>
        <v>3159.9589999999994</v>
      </c>
      <c r="F80" s="376">
        <f t="shared" ref="F80:U80" si="48">F77+F64</f>
        <v>3092.942</v>
      </c>
      <c r="G80" s="375">
        <f t="shared" si="48"/>
        <v>3067.306</v>
      </c>
      <c r="H80" s="375">
        <f t="shared" si="48"/>
        <v>2945.4119999999998</v>
      </c>
      <c r="I80" s="375">
        <f t="shared" si="48"/>
        <v>2772.4030000000002</v>
      </c>
      <c r="J80" s="376">
        <f t="shared" si="48"/>
        <v>2687.0169999999998</v>
      </c>
      <c r="K80" s="374">
        <f t="shared" si="48"/>
        <v>2742.8450000000003</v>
      </c>
      <c r="L80" s="375">
        <f t="shared" si="48"/>
        <v>18735.399999999998</v>
      </c>
      <c r="M80" s="375">
        <f t="shared" si="48"/>
        <v>18350.5</v>
      </c>
      <c r="N80" s="376">
        <f t="shared" si="48"/>
        <v>18260.528993427175</v>
      </c>
      <c r="O80" s="374">
        <f t="shared" si="48"/>
        <v>17777</v>
      </c>
      <c r="P80" s="375">
        <f t="shared" si="48"/>
        <v>17584</v>
      </c>
      <c r="Q80" s="375">
        <f t="shared" si="48"/>
        <v>16083.5</v>
      </c>
      <c r="R80" s="376">
        <f t="shared" si="48"/>
        <v>16240.000000000002</v>
      </c>
      <c r="S80" s="374">
        <f t="shared" si="48"/>
        <v>17950.3</v>
      </c>
      <c r="T80" s="375">
        <f t="shared" si="48"/>
        <v>16819.5</v>
      </c>
      <c r="U80" s="375">
        <f t="shared" si="48"/>
        <v>16459.611153255708</v>
      </c>
      <c r="V80" s="376">
        <f t="shared" ref="V80:W80" si="49">V77+V64</f>
        <v>16351.700000000003</v>
      </c>
      <c r="W80" s="374">
        <f t="shared" si="49"/>
        <v>15904.9</v>
      </c>
      <c r="X80" s="375">
        <f t="shared" ref="X80:Y80" si="50">X77+X64</f>
        <v>15592.399999999998</v>
      </c>
      <c r="Y80" s="375">
        <f t="shared" si="50"/>
        <v>14932.699999999999</v>
      </c>
      <c r="Z80" s="376">
        <f t="shared" ref="Z80" si="51">Z77+Z64</f>
        <v>15639.2</v>
      </c>
      <c r="AA80" s="374">
        <f t="shared" ref="AA80:AH80" si="52">AA77+AA64</f>
        <v>14989.4</v>
      </c>
      <c r="AB80" s="375">
        <f t="shared" si="52"/>
        <v>16297.599999999999</v>
      </c>
      <c r="AC80" s="375">
        <f t="shared" si="52"/>
        <v>16714</v>
      </c>
      <c r="AD80" s="376">
        <f t="shared" si="52"/>
        <v>16821.599999999999</v>
      </c>
      <c r="AE80" s="374">
        <f t="shared" si="52"/>
        <v>17291.2</v>
      </c>
      <c r="AF80" s="375">
        <f t="shared" si="52"/>
        <v>17440.7</v>
      </c>
      <c r="AG80" s="375">
        <f t="shared" si="52"/>
        <v>17122.600000000002</v>
      </c>
      <c r="AH80" s="376">
        <f t="shared" si="52"/>
        <v>18125.099999999999</v>
      </c>
      <c r="AI80" s="374">
        <f t="shared" ref="AI80:AL80" si="53">AI77+AI64</f>
        <v>18018.7</v>
      </c>
      <c r="AJ80" s="375">
        <f t="shared" si="53"/>
        <v>17684.800000000003</v>
      </c>
      <c r="AK80" s="375">
        <f t="shared" si="53"/>
        <v>18170.8</v>
      </c>
      <c r="AL80" s="376">
        <f t="shared" si="53"/>
        <v>18688.800000000003</v>
      </c>
      <c r="AM80" s="374">
        <f>AM77+AM64+AM78</f>
        <v>17588.199999999997</v>
      </c>
      <c r="AN80" s="375">
        <f>AN77+AN64+AN78</f>
        <v>17959.900000000001</v>
      </c>
      <c r="AO80" s="375">
        <f t="shared" ref="AO80:AP80" si="54">AO77+AO64</f>
        <v>18463.2</v>
      </c>
      <c r="AP80" s="376">
        <f t="shared" si="54"/>
        <v>16852.399999999998</v>
      </c>
      <c r="AQ80" s="374">
        <f>AQ77+AQ64+AQ78</f>
        <v>16288.300000000001</v>
      </c>
      <c r="AR80" s="666">
        <f>AR77+AR64+AR78</f>
        <v>16389.200000000004</v>
      </c>
      <c r="AS80" s="375">
        <f t="shared" ref="AS80:AT80" si="55">AS77+AS64</f>
        <v>16031.699999999999</v>
      </c>
      <c r="AT80" s="688">
        <f t="shared" si="55"/>
        <v>16495.800000000003</v>
      </c>
      <c r="AU80" s="374">
        <f>AU77+AU64+AU78</f>
        <v>16940.900000000001</v>
      </c>
      <c r="AV80" s="375">
        <f>AV77+AV64+AV78</f>
        <v>18845.3</v>
      </c>
      <c r="AW80" s="375">
        <f>AW77+AW64</f>
        <v>21008.800000000003</v>
      </c>
      <c r="AX80" s="688">
        <f t="shared" ref="AX80:BC80" si="56">AX77+AX64+AX78</f>
        <v>20871.499999999996</v>
      </c>
      <c r="AY80" s="374">
        <f t="shared" si="56"/>
        <v>20072.8</v>
      </c>
      <c r="AZ80" s="375">
        <f t="shared" si="56"/>
        <v>20113.400000000001</v>
      </c>
      <c r="BA80" s="375">
        <f t="shared" si="56"/>
        <v>20276.600000000002</v>
      </c>
      <c r="BB80" s="688">
        <f t="shared" si="56"/>
        <v>20398.7</v>
      </c>
      <c r="BC80" s="374">
        <f t="shared" si="56"/>
        <v>19381.300000000003</v>
      </c>
      <c r="BD80" s="375"/>
      <c r="BE80" s="375"/>
      <c r="BF80" s="688"/>
    </row>
    <row r="81" spans="1:58" s="200" customFormat="1" ht="25.2" customHeight="1">
      <c r="A81" s="364" t="s">
        <v>259</v>
      </c>
      <c r="B81" s="364" t="s">
        <v>192</v>
      </c>
      <c r="C81" s="365" t="e">
        <f t="shared" ref="C81:U81" si="57">C80+C55</f>
        <v>#VALUE!</v>
      </c>
      <c r="D81" s="366">
        <f t="shared" si="57"/>
        <v>5597.8010000000004</v>
      </c>
      <c r="E81" s="366">
        <f t="shared" si="57"/>
        <v>5514.8739999999998</v>
      </c>
      <c r="F81" s="367">
        <f t="shared" si="57"/>
        <v>5561.3450000000003</v>
      </c>
      <c r="G81" s="366">
        <f t="shared" si="57"/>
        <v>5629.4740000000002</v>
      </c>
      <c r="H81" s="366">
        <f t="shared" si="57"/>
        <v>5592.7070000000003</v>
      </c>
      <c r="I81" s="366">
        <f t="shared" si="57"/>
        <v>5597.9809999999998</v>
      </c>
      <c r="J81" s="367">
        <f t="shared" si="57"/>
        <v>5688.23</v>
      </c>
      <c r="K81" s="365">
        <f t="shared" si="57"/>
        <v>5851.1939999999995</v>
      </c>
      <c r="L81" s="366">
        <f t="shared" si="57"/>
        <v>27827.1</v>
      </c>
      <c r="M81" s="366">
        <f t="shared" si="57"/>
        <v>27481.200000000001</v>
      </c>
      <c r="N81" s="367">
        <f t="shared" si="57"/>
        <v>27338.728993427176</v>
      </c>
      <c r="O81" s="365">
        <f t="shared" si="57"/>
        <v>27088.9</v>
      </c>
      <c r="P81" s="366">
        <f t="shared" si="57"/>
        <v>27141.800000000003</v>
      </c>
      <c r="Q81" s="366">
        <f t="shared" si="57"/>
        <v>26143.5</v>
      </c>
      <c r="R81" s="367">
        <f t="shared" si="57"/>
        <v>26490.100000000002</v>
      </c>
      <c r="S81" s="365">
        <f t="shared" si="57"/>
        <v>28355.5</v>
      </c>
      <c r="T81" s="366">
        <f t="shared" si="57"/>
        <v>27581.1</v>
      </c>
      <c r="U81" s="366">
        <f t="shared" si="57"/>
        <v>27493.111153255708</v>
      </c>
      <c r="V81" s="367">
        <f t="shared" ref="V81:W81" si="58">V80+V55</f>
        <v>27729.300000000003</v>
      </c>
      <c r="W81" s="365">
        <f t="shared" si="58"/>
        <v>27553.199999999997</v>
      </c>
      <c r="X81" s="366">
        <f t="shared" ref="X81:Y81" si="59">X80+X55</f>
        <v>27317.5</v>
      </c>
      <c r="Y81" s="366">
        <f t="shared" si="59"/>
        <v>26892.6</v>
      </c>
      <c r="Z81" s="367">
        <f t="shared" ref="Z81" si="60">Z80+Z55</f>
        <v>27756</v>
      </c>
      <c r="AA81" s="365">
        <f t="shared" ref="AA81:AH81" si="61">AA80+AA55</f>
        <v>27894.400000000001</v>
      </c>
      <c r="AB81" s="366">
        <f t="shared" si="61"/>
        <v>29751.599999999999</v>
      </c>
      <c r="AC81" s="366">
        <f t="shared" si="61"/>
        <v>30395.3</v>
      </c>
      <c r="AD81" s="367">
        <f t="shared" si="61"/>
        <v>30696.799999999999</v>
      </c>
      <c r="AE81" s="365">
        <f t="shared" si="61"/>
        <v>31463.800000000003</v>
      </c>
      <c r="AF81" s="366">
        <f t="shared" si="61"/>
        <v>31359.200000000001</v>
      </c>
      <c r="AG81" s="366">
        <f t="shared" si="61"/>
        <v>31277.700000000004</v>
      </c>
      <c r="AH81" s="367">
        <f t="shared" si="61"/>
        <v>32589.599999999999</v>
      </c>
      <c r="AI81" s="365">
        <f t="shared" ref="AI81:AL81" si="62">AI80+AI55</f>
        <v>32658.700000000004</v>
      </c>
      <c r="AJ81" s="366">
        <f t="shared" si="62"/>
        <v>32622.800000000003</v>
      </c>
      <c r="AK81" s="366">
        <f t="shared" si="62"/>
        <v>32814.1</v>
      </c>
      <c r="AL81" s="367">
        <f t="shared" si="62"/>
        <v>33115</v>
      </c>
      <c r="AM81" s="365">
        <f t="shared" ref="AM81:AP81" si="63">AM80+AM55</f>
        <v>32954.5</v>
      </c>
      <c r="AN81" s="366">
        <f t="shared" si="63"/>
        <v>32922.300000000003</v>
      </c>
      <c r="AO81" s="366">
        <f t="shared" si="63"/>
        <v>35967.4</v>
      </c>
      <c r="AP81" s="367">
        <f t="shared" si="63"/>
        <v>32236.999999999996</v>
      </c>
      <c r="AQ81" s="365">
        <f t="shared" ref="AQ81:AS81" si="64">AQ80+AQ55</f>
        <v>31895.200000000004</v>
      </c>
      <c r="AR81" s="366">
        <f>AR80+AR55</f>
        <v>31814.000000000007</v>
      </c>
      <c r="AS81" s="366">
        <f t="shared" si="64"/>
        <v>31686.199999999997</v>
      </c>
      <c r="AT81" s="367">
        <f>AT80+AT55</f>
        <v>32306.600000000002</v>
      </c>
      <c r="AU81" s="365">
        <f t="shared" ref="AU81" si="65">AU80+AU55</f>
        <v>32810.600000000006</v>
      </c>
      <c r="AV81" s="366">
        <f>AV80+AV55</f>
        <v>34698.6</v>
      </c>
      <c r="AW81" s="366">
        <f t="shared" ref="AW81:AZ81" si="66">AW80+AW55</f>
        <v>36772.300000000003</v>
      </c>
      <c r="AX81" s="367">
        <f t="shared" si="66"/>
        <v>37176.699999999997</v>
      </c>
      <c r="AY81" s="365">
        <f t="shared" si="66"/>
        <v>36560.5</v>
      </c>
      <c r="AZ81" s="366">
        <f t="shared" si="66"/>
        <v>36777.100000000006</v>
      </c>
      <c r="BA81" s="366">
        <f t="shared" ref="BA81:BC81" si="67">BA80+BA55</f>
        <v>37178.300000000003</v>
      </c>
      <c r="BB81" s="367">
        <f t="shared" si="67"/>
        <v>37468</v>
      </c>
      <c r="BC81" s="365">
        <f t="shared" si="67"/>
        <v>36520.800000000003</v>
      </c>
      <c r="BD81" s="366"/>
      <c r="BE81" s="366"/>
      <c r="BF81" s="367"/>
    </row>
    <row r="82" spans="1:58" s="7" customFormat="1">
      <c r="A82" s="28"/>
      <c r="B82" s="104"/>
      <c r="Z82" s="5"/>
      <c r="AA82" s="5"/>
      <c r="AB82" s="5"/>
      <c r="AC82" s="5"/>
      <c r="AD82" s="5"/>
      <c r="AE82" s="5"/>
      <c r="AF82" s="5"/>
      <c r="AG82" s="5"/>
      <c r="AH82" s="5"/>
      <c r="AI82" s="5"/>
      <c r="AJ82" s="5"/>
      <c r="AK82" s="5"/>
      <c r="AL82" s="5"/>
      <c r="AM82" s="5"/>
      <c r="AN82" s="5"/>
      <c r="AO82" s="5"/>
      <c r="AP82" s="5"/>
      <c r="AQ82" s="5"/>
      <c r="AR82" s="5"/>
      <c r="AS82" s="5"/>
      <c r="AT82" s="5"/>
      <c r="AU82" s="5"/>
      <c r="AV82" s="5"/>
      <c r="AW82" s="5"/>
      <c r="AX82" s="5"/>
    </row>
    <row r="83" spans="1:58" s="7" customFormat="1">
      <c r="A83" s="28"/>
      <c r="B83" s="104"/>
      <c r="Z83" s="5"/>
      <c r="AA83" s="5"/>
      <c r="AB83" s="5"/>
      <c r="AC83" s="5"/>
      <c r="AD83" s="5"/>
      <c r="AE83" s="5"/>
      <c r="AF83" s="5"/>
      <c r="AG83" s="5"/>
      <c r="AH83" s="5"/>
      <c r="AI83" s="5"/>
      <c r="AJ83" s="5"/>
      <c r="AK83" s="5"/>
      <c r="AL83" s="5"/>
      <c r="AM83" s="5"/>
      <c r="AN83" s="5"/>
      <c r="AO83" s="5"/>
      <c r="AP83" s="5"/>
      <c r="AQ83" s="5"/>
      <c r="AR83" s="5"/>
      <c r="AS83" s="661"/>
      <c r="AT83" s="5"/>
      <c r="AU83" s="5"/>
      <c r="AV83" s="5"/>
      <c r="AW83" s="661"/>
      <c r="AX83" s="5"/>
    </row>
    <row r="84" spans="1:58" s="157" customFormat="1" ht="30.75" customHeight="1">
      <c r="A84" s="160" t="s">
        <v>260</v>
      </c>
      <c r="B84" s="155" t="s">
        <v>261</v>
      </c>
      <c r="C84" s="156"/>
      <c r="D84" s="156"/>
      <c r="E84" s="156"/>
      <c r="F84" s="156"/>
      <c r="G84" s="156"/>
      <c r="H84" s="156"/>
      <c r="I84" s="156"/>
      <c r="J84" s="156"/>
      <c r="K84" s="156"/>
      <c r="L84" s="156"/>
      <c r="M84" s="156"/>
      <c r="N84" s="156"/>
      <c r="O84" s="156"/>
      <c r="P84" s="156"/>
      <c r="Q84" s="156"/>
      <c r="R84" s="156"/>
      <c r="Z84" s="197"/>
      <c r="AA84" s="197"/>
      <c r="AB84" s="197"/>
      <c r="AC84" s="197"/>
      <c r="AD84" s="197"/>
      <c r="AE84" s="197"/>
      <c r="AF84" s="197"/>
      <c r="AG84" s="197"/>
      <c r="AH84" s="197"/>
      <c r="AI84" s="197"/>
      <c r="AJ84" s="197"/>
      <c r="AK84" s="197"/>
      <c r="AL84" s="197"/>
      <c r="AM84" s="197"/>
      <c r="AN84" s="197"/>
      <c r="AO84" s="197"/>
      <c r="AP84" s="197"/>
      <c r="AQ84" s="197"/>
      <c r="AR84" s="197"/>
      <c r="AS84" s="197"/>
      <c r="AT84" s="684"/>
      <c r="AU84" s="197"/>
      <c r="AV84" s="197"/>
      <c r="AW84" s="197"/>
      <c r="AX84" s="684"/>
    </row>
    <row r="85" spans="1:58" s="157" customFormat="1" ht="44.25" customHeight="1">
      <c r="A85" s="160" t="s">
        <v>262</v>
      </c>
      <c r="B85" s="155" t="s">
        <v>263</v>
      </c>
      <c r="C85" s="156"/>
      <c r="D85" s="156"/>
      <c r="E85" s="156"/>
      <c r="F85" s="156"/>
      <c r="G85" s="156"/>
      <c r="H85" s="156"/>
      <c r="I85" s="156"/>
      <c r="J85" s="156"/>
      <c r="K85" s="156"/>
      <c r="L85" s="156"/>
      <c r="M85" s="156"/>
      <c r="N85" s="156"/>
      <c r="O85" s="156"/>
      <c r="P85" s="156"/>
      <c r="Q85" s="156"/>
      <c r="R85" s="156"/>
    </row>
    <row r="86" spans="1:58" s="157" customFormat="1" ht="66.75" customHeight="1">
      <c r="A86" s="160" t="s">
        <v>264</v>
      </c>
      <c r="B86" s="158" t="s">
        <v>265</v>
      </c>
      <c r="C86" s="159"/>
      <c r="D86" s="159"/>
      <c r="E86" s="159"/>
      <c r="F86" s="159"/>
      <c r="G86" s="159"/>
      <c r="H86" s="159"/>
      <c r="I86" s="159"/>
      <c r="J86" s="159"/>
      <c r="K86" s="159"/>
      <c r="L86" s="159"/>
      <c r="M86" s="159"/>
      <c r="N86" s="159"/>
      <c r="O86" s="159"/>
      <c r="P86" s="159"/>
      <c r="Q86" s="159"/>
      <c r="R86" s="159"/>
    </row>
    <row r="87" spans="1:58" s="157" customFormat="1" ht="110.25" customHeight="1">
      <c r="A87" s="162" t="s">
        <v>266</v>
      </c>
      <c r="B87" s="161" t="s">
        <v>267</v>
      </c>
    </row>
    <row r="88" spans="1:58" s="7" customFormat="1" ht="57.75" customHeight="1">
      <c r="A88" s="112" t="s">
        <v>268</v>
      </c>
      <c r="B88" s="112" t="s">
        <v>269</v>
      </c>
    </row>
    <row r="89" spans="1:58" s="7" customFormat="1" ht="71.25" customHeight="1">
      <c r="A89" s="112" t="s">
        <v>270</v>
      </c>
      <c r="B89" s="112" t="s">
        <v>271</v>
      </c>
    </row>
    <row r="90" spans="1:58" ht="42" customHeight="1">
      <c r="A90" s="112" t="s">
        <v>272</v>
      </c>
      <c r="B90" s="155" t="s">
        <v>273</v>
      </c>
    </row>
  </sheetData>
  <customSheetViews>
    <customSheetView guid="{B87BD74C-18F3-4393-BF03-31B25889E08F}" showGridLines="0" fitToPage="1">
      <pane xSplit="1" ySplit="4" topLeftCell="AL65" activePane="bottomRight" state="frozen"/>
      <selection pane="bottomRight" activeCell="AM51" sqref="AM51"/>
      <pageMargins left="0" right="0" top="0" bottom="0" header="0" footer="0"/>
      <pageSetup paperSize="9" scale="10" orientation="landscape" r:id="rId1"/>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 right="0" top="0" bottom="0" header="0" footer="0"/>
      <pageSetup paperSize="9" scale="27" orientation="landscape" r:id="rId2"/>
    </customSheetView>
    <customSheetView guid="{634BFE77-A2AA-4FA6-8ED5-F02244B9F10C}" showPageBreaks="1" showGridLines="0" fitToPage="1" printArea="1" hiddenColumns="1">
      <pane xSplit="1" ySplit="4" topLeftCell="AG65" activePane="bottomRight" state="frozen"/>
      <selection pane="bottomRight" activeCell="AM77" sqref="AM77"/>
      <pageMargins left="0" right="0" top="0" bottom="0" header="0" footer="0"/>
      <pageSetup paperSize="9" scale="27"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B62" activePane="bottomRight" state="frozen"/>
      <selection pane="bottomRight" activeCell="AN51" sqref="AN51"/>
      <pageMargins left="0" right="0" top="0" bottom="0" header="0" footer="0"/>
      <pageSetup paperSize="9" scale="26" orientation="landscape" r:id="rId4"/>
    </customSheetView>
  </customSheetViews>
  <mergeCells count="14">
    <mergeCell ref="C2:F2"/>
    <mergeCell ref="G2:J2"/>
    <mergeCell ref="K2:N2"/>
    <mergeCell ref="O2:R2"/>
    <mergeCell ref="AI2:AL2"/>
    <mergeCell ref="AE2:AH2"/>
    <mergeCell ref="AA2:AD2"/>
    <mergeCell ref="W2:Z2"/>
    <mergeCell ref="S2:V2"/>
    <mergeCell ref="BC2:BF2"/>
    <mergeCell ref="AY2:BB2"/>
    <mergeCell ref="AU2:AX2"/>
    <mergeCell ref="AQ2:AT2"/>
    <mergeCell ref="AM2:AP2"/>
  </mergeCells>
  <phoneticPr fontId="11" type="noConversion"/>
  <pageMargins left="0.70866141732283472" right="0.70866141732283472" top="0.74803149606299213" bottom="0.74803149606299213" header="0.31496062992125984" footer="0.31496062992125984"/>
  <pageSetup paperSize="9" scale="26"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G36 I36 D36 AD24" formula="1"/>
  </ignoredErrors>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O161"/>
  <sheetViews>
    <sheetView showGridLines="0" zoomScale="80" zoomScaleNormal="80" zoomScaleSheetLayoutView="110" workbookViewId="0">
      <pane xSplit="1" ySplit="4" topLeftCell="BA8" activePane="bottomRight" state="frozen"/>
      <selection pane="topRight" activeCell="B1" sqref="B1"/>
      <selection pane="bottomLeft" activeCell="A5" sqref="A5"/>
      <selection pane="bottomRight" activeCell="BB1" sqref="BB1"/>
    </sheetView>
  </sheetViews>
  <sheetFormatPr defaultColWidth="9" defaultRowHeight="12.9" outlineLevelCol="1"/>
  <cols>
    <col min="1" max="1" width="45.5703125" style="112" customWidth="1"/>
    <col min="2" max="2" width="47.78515625" style="112" customWidth="1"/>
    <col min="3" max="3" width="13.0703125" style="4" customWidth="1" outlineLevel="1"/>
    <col min="4" max="5" width="13" style="4" customWidth="1" outlineLevel="1"/>
    <col min="6" max="6" width="12.5" style="4" customWidth="1" outlineLevel="1"/>
    <col min="7" max="7" width="13" style="4" customWidth="1" outlineLevel="1"/>
    <col min="8" max="9" width="12.78515625" style="4" customWidth="1" outlineLevel="1"/>
    <col min="10" max="10" width="12.5" style="4" customWidth="1" outlineLevel="1"/>
    <col min="11" max="12" width="13" style="4" customWidth="1" outlineLevel="1"/>
    <col min="13" max="13" width="12.78515625" style="4" customWidth="1" outlineLevel="1"/>
    <col min="14" max="14" width="12.5" style="4" customWidth="1" outlineLevel="1"/>
    <col min="15" max="29" width="13" style="4" customWidth="1" outlineLevel="1"/>
    <col min="30" max="30" width="14.0703125" style="4" customWidth="1" outlineLevel="1"/>
    <col min="31" max="34" width="13" style="6" customWidth="1" outlineLevel="1"/>
    <col min="35" max="50" width="13.0703125" style="6" customWidth="1" outlineLevel="1"/>
    <col min="51" max="54" width="13.0703125" style="6" customWidth="1"/>
    <col min="55" max="60" width="13.0703125" style="4" customWidth="1"/>
    <col min="61" max="61" width="13.0703125" style="927" customWidth="1"/>
    <col min="62" max="62" width="13.0703125" style="4" customWidth="1"/>
    <col min="63" max="16384" width="9" style="4"/>
  </cols>
  <sheetData>
    <row r="1" spans="1:483"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928"/>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row>
    <row r="2" spans="1:483" s="10" customFormat="1" ht="42.75" customHeight="1">
      <c r="A2" s="296" t="s">
        <v>274</v>
      </c>
      <c r="B2" s="606" t="s">
        <v>275</v>
      </c>
      <c r="C2" s="962">
        <v>2012</v>
      </c>
      <c r="D2" s="962"/>
      <c r="E2" s="962"/>
      <c r="F2" s="962"/>
      <c r="G2" s="965">
        <v>2013</v>
      </c>
      <c r="H2" s="962"/>
      <c r="I2" s="962"/>
      <c r="J2" s="966"/>
      <c r="K2" s="962">
        <v>2014</v>
      </c>
      <c r="L2" s="962"/>
      <c r="M2" s="962"/>
      <c r="N2" s="962"/>
      <c r="O2" s="965">
        <v>2015</v>
      </c>
      <c r="P2" s="962"/>
      <c r="Q2" s="962"/>
      <c r="R2" s="966"/>
      <c r="S2" s="962">
        <v>2016</v>
      </c>
      <c r="T2" s="962"/>
      <c r="U2" s="962"/>
      <c r="V2" s="962"/>
      <c r="W2" s="965" t="s">
        <v>276</v>
      </c>
      <c r="X2" s="962"/>
      <c r="Y2" s="962"/>
      <c r="Z2" s="966"/>
      <c r="AA2" s="962" t="s">
        <v>277</v>
      </c>
      <c r="AB2" s="963"/>
      <c r="AC2" s="963"/>
      <c r="AD2" s="963"/>
      <c r="AE2" s="965" t="s">
        <v>278</v>
      </c>
      <c r="AF2" s="963"/>
      <c r="AG2" s="963"/>
      <c r="AH2" s="964"/>
      <c r="AI2" s="962" t="s">
        <v>279</v>
      </c>
      <c r="AJ2" s="962"/>
      <c r="AK2" s="962"/>
      <c r="AL2" s="962"/>
      <c r="AM2" s="965">
        <v>2020</v>
      </c>
      <c r="AN2" s="963"/>
      <c r="AO2" s="963"/>
      <c r="AP2" s="964"/>
      <c r="AQ2" s="962">
        <v>2021</v>
      </c>
      <c r="AR2" s="963"/>
      <c r="AS2" s="963"/>
      <c r="AT2" s="964"/>
      <c r="AU2" s="962">
        <v>2022</v>
      </c>
      <c r="AV2" s="963"/>
      <c r="AW2" s="963"/>
      <c r="AX2" s="964"/>
      <c r="AY2" s="962">
        <v>2023</v>
      </c>
      <c r="AZ2" s="963"/>
      <c r="BA2" s="963"/>
      <c r="BB2" s="964"/>
      <c r="BC2" s="962">
        <v>2024</v>
      </c>
      <c r="BD2" s="963"/>
      <c r="BE2" s="963"/>
      <c r="BF2" s="964"/>
      <c r="BG2" s="962">
        <v>2025</v>
      </c>
      <c r="BH2" s="963"/>
      <c r="BI2" s="963"/>
      <c r="BJ2" s="964"/>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row>
    <row r="3" spans="1:483" ht="40.200000000000003" customHeight="1">
      <c r="A3" s="296" t="s">
        <v>20</v>
      </c>
      <c r="B3" s="606" t="s">
        <v>20</v>
      </c>
      <c r="C3" s="440" t="s">
        <v>280</v>
      </c>
      <c r="D3" s="440" t="s">
        <v>281</v>
      </c>
      <c r="E3" s="440" t="s">
        <v>282</v>
      </c>
      <c r="F3" s="440" t="s">
        <v>283</v>
      </c>
      <c r="G3" s="585" t="s">
        <v>280</v>
      </c>
      <c r="H3" s="440" t="s">
        <v>281</v>
      </c>
      <c r="I3" s="440" t="s">
        <v>282</v>
      </c>
      <c r="J3" s="586" t="s">
        <v>283</v>
      </c>
      <c r="K3" s="440" t="s">
        <v>280</v>
      </c>
      <c r="L3" s="440" t="s">
        <v>281</v>
      </c>
      <c r="M3" s="440" t="s">
        <v>282</v>
      </c>
      <c r="N3" s="440" t="s">
        <v>283</v>
      </c>
      <c r="O3" s="585" t="s">
        <v>280</v>
      </c>
      <c r="P3" s="440" t="s">
        <v>281</v>
      </c>
      <c r="Q3" s="440" t="s">
        <v>282</v>
      </c>
      <c r="R3" s="586" t="s">
        <v>283</v>
      </c>
      <c r="S3" s="440" t="s">
        <v>280</v>
      </c>
      <c r="T3" s="440" t="s">
        <v>281</v>
      </c>
      <c r="U3" s="440" t="s">
        <v>282</v>
      </c>
      <c r="V3" s="440" t="s">
        <v>283</v>
      </c>
      <c r="W3" s="585" t="s">
        <v>280</v>
      </c>
      <c r="X3" s="440" t="s">
        <v>281</v>
      </c>
      <c r="Y3" s="440" t="s">
        <v>282</v>
      </c>
      <c r="Z3" s="586" t="s">
        <v>283</v>
      </c>
      <c r="AA3" s="440" t="s">
        <v>280</v>
      </c>
      <c r="AB3" s="440" t="s">
        <v>281</v>
      </c>
      <c r="AC3" s="440" t="s">
        <v>282</v>
      </c>
      <c r="AD3" s="440" t="s">
        <v>283</v>
      </c>
      <c r="AE3" s="585" t="s">
        <v>280</v>
      </c>
      <c r="AF3" s="440" t="s">
        <v>281</v>
      </c>
      <c r="AG3" s="440" t="s">
        <v>282</v>
      </c>
      <c r="AH3" s="586" t="s">
        <v>283</v>
      </c>
      <c r="AI3" s="440" t="s">
        <v>280</v>
      </c>
      <c r="AJ3" s="440" t="s">
        <v>281</v>
      </c>
      <c r="AK3" s="440" t="s">
        <v>282</v>
      </c>
      <c r="AL3" s="440" t="s">
        <v>283</v>
      </c>
      <c r="AM3" s="585" t="s">
        <v>280</v>
      </c>
      <c r="AN3" s="440" t="s">
        <v>281</v>
      </c>
      <c r="AO3" s="440" t="s">
        <v>282</v>
      </c>
      <c r="AP3" s="586" t="s">
        <v>283</v>
      </c>
      <c r="AQ3" s="440" t="s">
        <v>280</v>
      </c>
      <c r="AR3" s="440" t="s">
        <v>281</v>
      </c>
      <c r="AS3" s="440" t="s">
        <v>282</v>
      </c>
      <c r="AT3" s="586" t="s">
        <v>283</v>
      </c>
      <c r="AU3" s="440" t="s">
        <v>280</v>
      </c>
      <c r="AV3" s="440" t="s">
        <v>281</v>
      </c>
      <c r="AW3" s="440" t="s">
        <v>282</v>
      </c>
      <c r="AX3" s="586" t="s">
        <v>283</v>
      </c>
      <c r="AY3" s="440" t="str">
        <f>AU3</f>
        <v>3 miesiące 
do 31 marca</v>
      </c>
      <c r="AZ3" s="440" t="s">
        <v>281</v>
      </c>
      <c r="BA3" s="440" t="s">
        <v>282</v>
      </c>
      <c r="BB3" s="586" t="s">
        <v>283</v>
      </c>
      <c r="BC3" s="440" t="str">
        <f>AY3</f>
        <v>3 miesiące 
do 31 marca</v>
      </c>
      <c r="BD3" s="440" t="s">
        <v>281</v>
      </c>
      <c r="BE3" s="440" t="s">
        <v>282</v>
      </c>
      <c r="BF3" s="586" t="s">
        <v>283</v>
      </c>
      <c r="BG3" s="440" t="str">
        <f>BC3</f>
        <v>3 miesiące 
do 31 marca</v>
      </c>
      <c r="BH3" s="440" t="s">
        <v>281</v>
      </c>
      <c r="BI3" s="440" t="s">
        <v>282</v>
      </c>
      <c r="BJ3" s="586" t="s">
        <v>283</v>
      </c>
    </row>
    <row r="4" spans="1:483" s="444" customFormat="1" ht="40.200000000000003" customHeight="1" thickBot="1">
      <c r="A4" s="442"/>
      <c r="B4" s="607"/>
      <c r="C4" s="443" t="s">
        <v>284</v>
      </c>
      <c r="D4" s="443" t="s">
        <v>285</v>
      </c>
      <c r="E4" s="443" t="s">
        <v>286</v>
      </c>
      <c r="F4" s="443" t="s">
        <v>287</v>
      </c>
      <c r="G4" s="587" t="s">
        <v>284</v>
      </c>
      <c r="H4" s="443" t="s">
        <v>285</v>
      </c>
      <c r="I4" s="443" t="s">
        <v>286</v>
      </c>
      <c r="J4" s="588" t="s">
        <v>287</v>
      </c>
      <c r="K4" s="443" t="s">
        <v>284</v>
      </c>
      <c r="L4" s="443" t="s">
        <v>285</v>
      </c>
      <c r="M4" s="443" t="s">
        <v>286</v>
      </c>
      <c r="N4" s="443" t="s">
        <v>287</v>
      </c>
      <c r="O4" s="587" t="s">
        <v>284</v>
      </c>
      <c r="P4" s="443" t="s">
        <v>285</v>
      </c>
      <c r="Q4" s="443" t="s">
        <v>286</v>
      </c>
      <c r="R4" s="588" t="s">
        <v>287</v>
      </c>
      <c r="S4" s="443" t="s">
        <v>284</v>
      </c>
      <c r="T4" s="443" t="s">
        <v>285</v>
      </c>
      <c r="U4" s="443" t="s">
        <v>286</v>
      </c>
      <c r="V4" s="443" t="s">
        <v>287</v>
      </c>
      <c r="W4" s="587" t="s">
        <v>284</v>
      </c>
      <c r="X4" s="443" t="s">
        <v>285</v>
      </c>
      <c r="Y4" s="443" t="s">
        <v>286</v>
      </c>
      <c r="Z4" s="588" t="s">
        <v>287</v>
      </c>
      <c r="AA4" s="443" t="s">
        <v>284</v>
      </c>
      <c r="AB4" s="443" t="s">
        <v>285</v>
      </c>
      <c r="AC4" s="443" t="s">
        <v>286</v>
      </c>
      <c r="AD4" s="443" t="s">
        <v>287</v>
      </c>
      <c r="AE4" s="587" t="s">
        <v>284</v>
      </c>
      <c r="AF4" s="443" t="s">
        <v>285</v>
      </c>
      <c r="AG4" s="443" t="s">
        <v>286</v>
      </c>
      <c r="AH4" s="588" t="s">
        <v>287</v>
      </c>
      <c r="AI4" s="443" t="s">
        <v>284</v>
      </c>
      <c r="AJ4" s="443" t="s">
        <v>285</v>
      </c>
      <c r="AK4" s="443" t="s">
        <v>286</v>
      </c>
      <c r="AL4" s="443" t="s">
        <v>287</v>
      </c>
      <c r="AM4" s="587" t="s">
        <v>284</v>
      </c>
      <c r="AN4" s="443" t="s">
        <v>285</v>
      </c>
      <c r="AO4" s="443" t="s">
        <v>286</v>
      </c>
      <c r="AP4" s="588" t="s">
        <v>287</v>
      </c>
      <c r="AQ4" s="443" t="s">
        <v>284</v>
      </c>
      <c r="AR4" s="443" t="s">
        <v>285</v>
      </c>
      <c r="AS4" s="443" t="s">
        <v>286</v>
      </c>
      <c r="AT4" s="588" t="s">
        <v>287</v>
      </c>
      <c r="AU4" s="443" t="s">
        <v>284</v>
      </c>
      <c r="AV4" s="443" t="s">
        <v>285</v>
      </c>
      <c r="AW4" s="443" t="s">
        <v>286</v>
      </c>
      <c r="AX4" s="588" t="s">
        <v>287</v>
      </c>
      <c r="AY4" s="443" t="s">
        <v>284</v>
      </c>
      <c r="AZ4" s="443" t="s">
        <v>285</v>
      </c>
      <c r="BA4" s="443" t="s">
        <v>286</v>
      </c>
      <c r="BB4" s="588" t="s">
        <v>287</v>
      </c>
      <c r="BC4" s="443" t="s">
        <v>284</v>
      </c>
      <c r="BD4" s="443" t="s">
        <v>285</v>
      </c>
      <c r="BE4" s="443" t="s">
        <v>286</v>
      </c>
      <c r="BF4" s="588" t="s">
        <v>287</v>
      </c>
      <c r="BG4" s="443" t="s">
        <v>284</v>
      </c>
      <c r="BH4" s="443" t="s">
        <v>285</v>
      </c>
      <c r="BI4" s="443" t="s">
        <v>286</v>
      </c>
      <c r="BJ4" s="588" t="s">
        <v>287</v>
      </c>
    </row>
    <row r="5" spans="1:483" ht="20.149999999999999" customHeight="1" thickBot="1">
      <c r="A5" s="441" t="s">
        <v>288</v>
      </c>
      <c r="B5" s="608" t="s">
        <v>289</v>
      </c>
      <c r="C5" s="84">
        <v>205.10900000000001</v>
      </c>
      <c r="D5" s="84">
        <v>304.61200000000002</v>
      </c>
      <c r="E5" s="84">
        <v>476.67400000000004</v>
      </c>
      <c r="F5" s="84">
        <v>598.298</v>
      </c>
      <c r="G5" s="589">
        <v>95.105000000000004</v>
      </c>
      <c r="H5" s="84">
        <v>175.85</v>
      </c>
      <c r="I5" s="84">
        <v>352.30099999999999</v>
      </c>
      <c r="J5" s="590">
        <v>525.44500000000005</v>
      </c>
      <c r="K5" s="84">
        <v>98.171999999999997</v>
      </c>
      <c r="L5" s="84">
        <f>'P&amp;L'!M34+'P&amp;L'!N34</f>
        <v>230.29999999999967</v>
      </c>
      <c r="M5" s="84">
        <v>278.5</v>
      </c>
      <c r="N5" s="84">
        <v>292.5</v>
      </c>
      <c r="O5" s="589">
        <v>170.8</v>
      </c>
      <c r="P5" s="84">
        <v>475.29999999999984</v>
      </c>
      <c r="Q5" s="84">
        <f>SUM('P&amp;L'!R34:T34)</f>
        <v>977.7999999999995</v>
      </c>
      <c r="R5" s="590">
        <f>SUM('P&amp;L'!V34)</f>
        <v>1163.3999999999994</v>
      </c>
      <c r="S5" s="84">
        <f>'P&amp;L'!W34</f>
        <v>178.50000000000006</v>
      </c>
      <c r="T5" s="84">
        <f>'P&amp;L'!W34+'P&amp;L'!X34</f>
        <v>409.4000000000002</v>
      </c>
      <c r="U5" s="84">
        <f>T5+'P&amp;L'!Y34</f>
        <v>679.20000000000061</v>
      </c>
      <c r="V5" s="84">
        <f>'P&amp;L'!AA34</f>
        <v>1021.0000000000001</v>
      </c>
      <c r="W5" s="589">
        <v>271.40000000000032</v>
      </c>
      <c r="X5" s="84">
        <v>553.10000000000025</v>
      </c>
      <c r="Y5" s="84">
        <v>788</v>
      </c>
      <c r="Z5" s="590">
        <v>945.2</v>
      </c>
      <c r="AA5" s="84">
        <v>292.2</v>
      </c>
      <c r="AB5" s="84">
        <v>523.6</v>
      </c>
      <c r="AC5" s="84">
        <v>750.7</v>
      </c>
      <c r="AD5" s="84">
        <v>816.1</v>
      </c>
      <c r="AE5" s="589">
        <v>300.8</v>
      </c>
      <c r="AF5" s="84">
        <v>570.9</v>
      </c>
      <c r="AG5" s="84">
        <v>817.9</v>
      </c>
      <c r="AH5" s="590">
        <v>1126.3</v>
      </c>
      <c r="AI5" s="84">
        <v>297.3</v>
      </c>
      <c r="AJ5" s="84">
        <v>566.20000000000005</v>
      </c>
      <c r="AK5" s="84">
        <v>802.7</v>
      </c>
      <c r="AL5" s="84">
        <v>1114.5999999999999</v>
      </c>
      <c r="AM5" s="589">
        <f>'P&amp;L'!BB34</f>
        <v>183.78882651999987</v>
      </c>
      <c r="AN5" s="84">
        <v>474.5</v>
      </c>
      <c r="AO5" s="84">
        <v>819.5</v>
      </c>
      <c r="AP5" s="590">
        <v>1146.2</v>
      </c>
      <c r="AQ5" s="84">
        <f>'P&amp;L'!BG34</f>
        <v>390.4</v>
      </c>
      <c r="AR5" s="84">
        <f>'P&amp;L'!BH34+AQ5</f>
        <v>932.09999999999991</v>
      </c>
      <c r="AS5" s="84">
        <f>'P&amp;L'!BI34+AR5</f>
        <v>4080.8000000000006</v>
      </c>
      <c r="AT5" s="590">
        <f>'P&amp;L'!BK34</f>
        <v>4414.4999999999982</v>
      </c>
      <c r="AU5" s="84">
        <f>'P&amp;L'!BL34</f>
        <v>212.79999999999995</v>
      </c>
      <c r="AV5" s="675">
        <f>SUM('P&amp;L'!BL34:BM34)</f>
        <v>495.49999999999977</v>
      </c>
      <c r="AW5" s="675">
        <f>SUM('P&amp;L'!BL34:BN34)</f>
        <v>726.60000000000059</v>
      </c>
      <c r="AX5" s="693">
        <f>'P&amp;L'!BP34</f>
        <v>901.10000000000014</v>
      </c>
      <c r="AY5" s="84">
        <f>'P&amp;L'!BQ34</f>
        <v>71.000000000000583</v>
      </c>
      <c r="AZ5" s="675">
        <v>79.099999999999994</v>
      </c>
      <c r="BA5" s="675">
        <v>181.3</v>
      </c>
      <c r="BB5" s="693">
        <v>311.60000000000002</v>
      </c>
      <c r="BC5" s="84">
        <v>184.3</v>
      </c>
      <c r="BD5" s="675">
        <v>359.8</v>
      </c>
      <c r="BE5" s="675">
        <v>609.6</v>
      </c>
      <c r="BF5" s="693">
        <v>777.3</v>
      </c>
      <c r="BG5" s="84">
        <v>86.7</v>
      </c>
      <c r="BH5" s="675"/>
      <c r="BI5" s="675"/>
      <c r="BJ5" s="693"/>
    </row>
    <row r="6" spans="1:483" ht="20.149999999999999" customHeight="1" thickBot="1">
      <c r="A6" s="361" t="s">
        <v>290</v>
      </c>
      <c r="B6" s="609" t="s">
        <v>291</v>
      </c>
      <c r="C6" s="362">
        <f t="shared" ref="C6:AB6" si="0">SUM(C7:C37)</f>
        <v>27.58799999999999</v>
      </c>
      <c r="D6" s="362">
        <f t="shared" si="0"/>
        <v>110.99899999999997</v>
      </c>
      <c r="E6" s="362">
        <f t="shared" si="0"/>
        <v>152.09600000000003</v>
      </c>
      <c r="F6" s="363">
        <f t="shared" si="0"/>
        <v>244.9200000000001</v>
      </c>
      <c r="G6" s="591">
        <f t="shared" si="0"/>
        <v>70.556999999999988</v>
      </c>
      <c r="H6" s="363">
        <f t="shared" si="0"/>
        <v>176.07799999999997</v>
      </c>
      <c r="I6" s="363">
        <f t="shared" si="0"/>
        <v>195.94299999999996</v>
      </c>
      <c r="J6" s="592">
        <f t="shared" si="0"/>
        <v>334.28999999999991</v>
      </c>
      <c r="K6" s="363">
        <f t="shared" si="0"/>
        <v>86.532000000000011</v>
      </c>
      <c r="L6" s="363">
        <f t="shared" si="0"/>
        <v>505.40000000000015</v>
      </c>
      <c r="M6" s="363">
        <f t="shared" si="0"/>
        <v>1145.4000000000003</v>
      </c>
      <c r="N6" s="363">
        <f t="shared" si="0"/>
        <v>1825.2999999999997</v>
      </c>
      <c r="O6" s="591">
        <f t="shared" si="0"/>
        <v>282.2000000000001</v>
      </c>
      <c r="P6" s="363">
        <f t="shared" si="0"/>
        <v>852.69999999999982</v>
      </c>
      <c r="Q6" s="363">
        <f t="shared" si="0"/>
        <v>1195.6999999999994</v>
      </c>
      <c r="R6" s="592">
        <f t="shared" si="0"/>
        <v>1821.6999999999998</v>
      </c>
      <c r="S6" s="363">
        <f t="shared" si="0"/>
        <v>405.9</v>
      </c>
      <c r="T6" s="363">
        <f t="shared" si="0"/>
        <v>1140</v>
      </c>
      <c r="U6" s="363">
        <f t="shared" si="0"/>
        <v>1678.3000000000002</v>
      </c>
      <c r="V6" s="363">
        <f t="shared" si="0"/>
        <v>2130.5</v>
      </c>
      <c r="W6" s="591">
        <f t="shared" si="0"/>
        <v>509.29999999999995</v>
      </c>
      <c r="X6" s="363">
        <f t="shared" si="0"/>
        <v>1062.8</v>
      </c>
      <c r="Y6" s="363">
        <f t="shared" si="0"/>
        <v>1457.6999999999998</v>
      </c>
      <c r="Z6" s="592">
        <f t="shared" si="0"/>
        <v>2181.1000000000004</v>
      </c>
      <c r="AA6" s="363">
        <f t="shared" si="0"/>
        <v>340.90000000000009</v>
      </c>
      <c r="AB6" s="363">
        <f t="shared" si="0"/>
        <v>873.30000000000007</v>
      </c>
      <c r="AC6" s="363">
        <v>1470.1</v>
      </c>
      <c r="AD6" s="363">
        <f t="shared" ref="AD6:BG6" si="1">SUM(AD7:AD37)</f>
        <v>2416</v>
      </c>
      <c r="AE6" s="591">
        <f t="shared" si="1"/>
        <v>402.4</v>
      </c>
      <c r="AF6" s="363">
        <f t="shared" si="1"/>
        <v>983.40000000000032</v>
      </c>
      <c r="AG6" s="363">
        <f t="shared" si="1"/>
        <v>1588.9000000000003</v>
      </c>
      <c r="AH6" s="592">
        <f t="shared" si="1"/>
        <v>2265.5</v>
      </c>
      <c r="AI6" s="363">
        <f t="shared" si="1"/>
        <v>464.9</v>
      </c>
      <c r="AJ6" s="363">
        <f t="shared" si="1"/>
        <v>1143.1000000000001</v>
      </c>
      <c r="AK6" s="363">
        <f t="shared" si="1"/>
        <v>1857.2000000000003</v>
      </c>
      <c r="AL6" s="363">
        <f t="shared" si="1"/>
        <v>2663.2999999999997</v>
      </c>
      <c r="AM6" s="591">
        <f t="shared" si="1"/>
        <v>677.20000000000016</v>
      </c>
      <c r="AN6" s="363">
        <f t="shared" si="1"/>
        <v>1232.3000000000004</v>
      </c>
      <c r="AO6" s="363">
        <f t="shared" si="1"/>
        <v>1835.7999999999997</v>
      </c>
      <c r="AP6" s="592">
        <f t="shared" si="1"/>
        <v>2651.7</v>
      </c>
      <c r="AQ6" s="363">
        <f t="shared" si="1"/>
        <v>603.90000000000009</v>
      </c>
      <c r="AR6" s="363">
        <f t="shared" si="1"/>
        <v>953.8</v>
      </c>
      <c r="AS6" s="363">
        <f t="shared" si="1"/>
        <v>-1284.9999999999998</v>
      </c>
      <c r="AT6" s="592">
        <f t="shared" si="1"/>
        <v>-724.80000000000007</v>
      </c>
      <c r="AU6" s="363">
        <f t="shared" si="1"/>
        <v>454.00000000000011</v>
      </c>
      <c r="AV6" s="676">
        <f t="shared" si="1"/>
        <v>997.8</v>
      </c>
      <c r="AW6" s="363">
        <f t="shared" si="1"/>
        <v>1492.8</v>
      </c>
      <c r="AX6" s="693">
        <f t="shared" si="1"/>
        <v>2072.4</v>
      </c>
      <c r="AY6" s="363">
        <f t="shared" si="1"/>
        <v>284.7000000000001</v>
      </c>
      <c r="AZ6" s="676">
        <f t="shared" si="1"/>
        <v>1311.7999999999993</v>
      </c>
      <c r="BA6" s="676">
        <f t="shared" si="1"/>
        <v>1483.7999999999995</v>
      </c>
      <c r="BB6" s="693">
        <f t="shared" si="1"/>
        <v>2316.5999999999995</v>
      </c>
      <c r="BC6" s="363">
        <f t="shared" si="1"/>
        <v>616.20000000000005</v>
      </c>
      <c r="BD6" s="676">
        <f t="shared" si="1"/>
        <v>1158.8000000000002</v>
      </c>
      <c r="BE6" s="676">
        <f t="shared" si="1"/>
        <v>1991.0999999999995</v>
      </c>
      <c r="BF6" s="693">
        <f t="shared" si="1"/>
        <v>2783.2600000000007</v>
      </c>
      <c r="BG6" s="363">
        <f t="shared" si="1"/>
        <v>662.7</v>
      </c>
      <c r="BH6" s="676"/>
      <c r="BI6" s="676"/>
      <c r="BJ6" s="693"/>
    </row>
    <row r="7" spans="1:483" ht="20.149999999999999" customHeight="1">
      <c r="A7" s="64" t="s">
        <v>45</v>
      </c>
      <c r="B7" s="610" t="s">
        <v>46</v>
      </c>
      <c r="C7" s="62">
        <v>54.433</v>
      </c>
      <c r="D7" s="62">
        <v>111.117</v>
      </c>
      <c r="E7" s="62">
        <v>171.35499999999999</v>
      </c>
      <c r="F7" s="62">
        <v>243.066</v>
      </c>
      <c r="G7" s="593">
        <v>60.698</v>
      </c>
      <c r="H7" s="62">
        <v>122.961</v>
      </c>
      <c r="I7" s="62">
        <v>187.82599999999999</v>
      </c>
      <c r="J7" s="594">
        <v>256.416</v>
      </c>
      <c r="K7" s="62">
        <v>62.434000000000005</v>
      </c>
      <c r="L7" s="62">
        <v>373.8</v>
      </c>
      <c r="M7" s="62">
        <v>852.1</v>
      </c>
      <c r="N7" s="62">
        <v>1295.9000000000001</v>
      </c>
      <c r="O7" s="593">
        <v>467.9</v>
      </c>
      <c r="P7" s="62">
        <v>861.4</v>
      </c>
      <c r="Q7" s="62">
        <v>1262.5999999999999</v>
      </c>
      <c r="R7" s="594">
        <v>1699.3</v>
      </c>
      <c r="S7" s="62">
        <v>423.7</v>
      </c>
      <c r="T7" s="62">
        <v>951.2</v>
      </c>
      <c r="U7" s="62">
        <v>1459.1</v>
      </c>
      <c r="V7" s="62">
        <v>1971.5</v>
      </c>
      <c r="W7" s="593">
        <v>472.3</v>
      </c>
      <c r="X7" s="62">
        <v>919</v>
      </c>
      <c r="Y7" s="62">
        <v>1348.2</v>
      </c>
      <c r="Z7" s="594">
        <v>1783</v>
      </c>
      <c r="AA7" s="62">
        <v>454.5</v>
      </c>
      <c r="AB7" s="62">
        <v>925.3</v>
      </c>
      <c r="AC7" s="62">
        <v>1448.8</v>
      </c>
      <c r="AD7" s="62">
        <v>1970.7</v>
      </c>
      <c r="AE7" s="593">
        <v>440.1</v>
      </c>
      <c r="AF7" s="62">
        <v>884.7</v>
      </c>
      <c r="AG7" s="62">
        <v>1333.2</v>
      </c>
      <c r="AH7" s="594">
        <v>1786.4</v>
      </c>
      <c r="AI7" s="62">
        <v>547.1</v>
      </c>
      <c r="AJ7" s="62">
        <v>1100.7</v>
      </c>
      <c r="AK7" s="62">
        <v>1662.2</v>
      </c>
      <c r="AL7" s="62">
        <v>2229.6999999999998</v>
      </c>
      <c r="AM7" s="593">
        <v>564.5</v>
      </c>
      <c r="AN7" s="62">
        <v>1130.4000000000001</v>
      </c>
      <c r="AO7" s="62">
        <v>1703.4</v>
      </c>
      <c r="AP7" s="594">
        <v>2305.6999999999998</v>
      </c>
      <c r="AQ7" s="62">
        <v>521.20000000000005</v>
      </c>
      <c r="AR7" s="62">
        <v>978.4</v>
      </c>
      <c r="AS7" s="62">
        <v>1442</v>
      </c>
      <c r="AT7" s="594">
        <v>1903.2</v>
      </c>
      <c r="AU7" s="62">
        <v>446.3</v>
      </c>
      <c r="AV7" s="234">
        <v>913.8</v>
      </c>
      <c r="AW7" s="681">
        <v>1365.9</v>
      </c>
      <c r="AX7" s="594">
        <v>1829</v>
      </c>
      <c r="AY7" s="62">
        <v>462.5</v>
      </c>
      <c r="AZ7" s="721">
        <v>931.2</v>
      </c>
      <c r="BA7" s="721">
        <v>1415.1</v>
      </c>
      <c r="BB7" s="594">
        <v>1919.6</v>
      </c>
      <c r="BC7" s="62">
        <v>493.6</v>
      </c>
      <c r="BD7" s="721">
        <v>962.6</v>
      </c>
      <c r="BE7" s="721">
        <v>1279.5</v>
      </c>
      <c r="BF7" s="594">
        <v>1671.4</v>
      </c>
      <c r="BG7" s="62">
        <v>398.8</v>
      </c>
      <c r="BH7" s="721"/>
      <c r="BI7" s="721"/>
      <c r="BJ7" s="594"/>
    </row>
    <row r="8" spans="1:483" ht="20.149999999999999" customHeight="1">
      <c r="A8" s="64" t="s">
        <v>292</v>
      </c>
      <c r="B8" s="610" t="s">
        <v>293</v>
      </c>
      <c r="C8" s="62">
        <v>-29.711000000000002</v>
      </c>
      <c r="D8" s="62">
        <v>-88.683000000000007</v>
      </c>
      <c r="E8" s="62">
        <v>-140.589</v>
      </c>
      <c r="F8" s="62">
        <v>-177.86799999999999</v>
      </c>
      <c r="G8" s="593">
        <v>-44.32</v>
      </c>
      <c r="H8" s="62">
        <v>-122.45100000000001</v>
      </c>
      <c r="I8" s="62">
        <v>-189.477</v>
      </c>
      <c r="J8" s="594">
        <v>-222.45600000000002</v>
      </c>
      <c r="K8" s="62">
        <v>-109.42100000000001</v>
      </c>
      <c r="L8" s="62">
        <v>-148.9</v>
      </c>
      <c r="M8" s="62">
        <v>-224.7</v>
      </c>
      <c r="N8" s="62">
        <v>-306.8</v>
      </c>
      <c r="O8" s="593">
        <v>-41.5</v>
      </c>
      <c r="P8" s="62">
        <v>-115.2</v>
      </c>
      <c r="Q8" s="62">
        <v>-195.4</v>
      </c>
      <c r="R8" s="594">
        <v>-238.1</v>
      </c>
      <c r="S8" s="62">
        <v>-58.1</v>
      </c>
      <c r="T8" s="62">
        <v>-119</v>
      </c>
      <c r="U8" s="62">
        <v>-189.6</v>
      </c>
      <c r="V8" s="62">
        <v>-246.5</v>
      </c>
      <c r="W8" s="593">
        <v>-33.299999999999997</v>
      </c>
      <c r="X8" s="62">
        <v>-94.2</v>
      </c>
      <c r="Y8" s="62">
        <v>-246.2</v>
      </c>
      <c r="Z8" s="594">
        <v>-305.10000000000002</v>
      </c>
      <c r="AA8" s="62">
        <v>-62.4</v>
      </c>
      <c r="AB8" s="62">
        <v>-124.7</v>
      </c>
      <c r="AC8" s="62">
        <v>-411.2</v>
      </c>
      <c r="AD8" s="62">
        <v>-363.5</v>
      </c>
      <c r="AE8" s="593">
        <v>-156.30000000000001</v>
      </c>
      <c r="AF8" s="62">
        <v>-343.1</v>
      </c>
      <c r="AG8" s="62">
        <v>-534</v>
      </c>
      <c r="AH8" s="594">
        <v>-617.29999999999995</v>
      </c>
      <c r="AI8" s="62">
        <v>-156.30000000000001</v>
      </c>
      <c r="AJ8" s="62">
        <v>-343.1</v>
      </c>
      <c r="AK8" s="62">
        <v>-534</v>
      </c>
      <c r="AL8" s="62">
        <v>-617.29999999999995</v>
      </c>
      <c r="AM8" s="593">
        <v>-160.5</v>
      </c>
      <c r="AN8" s="62">
        <v>-223.3</v>
      </c>
      <c r="AO8" s="62">
        <v>-311.39999999999998</v>
      </c>
      <c r="AP8" s="594">
        <v>-511.9</v>
      </c>
      <c r="AQ8" s="62">
        <v>-175.1</v>
      </c>
      <c r="AR8" s="62">
        <v>-411.4</v>
      </c>
      <c r="AS8" s="62">
        <v>-557.1</v>
      </c>
      <c r="AT8" s="594">
        <v>-645</v>
      </c>
      <c r="AU8" s="62">
        <v>-178</v>
      </c>
      <c r="AV8" s="234">
        <v>-268.5</v>
      </c>
      <c r="AW8" s="234">
        <v>-492.8</v>
      </c>
      <c r="AX8" s="594">
        <v>-587.1</v>
      </c>
      <c r="AY8" s="62">
        <v>-187.2</v>
      </c>
      <c r="AZ8" s="62">
        <v>-341.3</v>
      </c>
      <c r="BA8" s="62">
        <v>-582.4</v>
      </c>
      <c r="BB8" s="594">
        <v>-654</v>
      </c>
      <c r="BC8" s="62">
        <v>-206.7</v>
      </c>
      <c r="BD8" s="62">
        <v>-306.7</v>
      </c>
      <c r="BE8" s="62">
        <v>-448.6</v>
      </c>
      <c r="BF8" s="594">
        <v>-571.70000000000005</v>
      </c>
      <c r="BG8" s="62">
        <v>-151.6</v>
      </c>
      <c r="BH8" s="62"/>
      <c r="BI8" s="62"/>
      <c r="BJ8" s="594"/>
    </row>
    <row r="9" spans="1:483" ht="20.149999999999999" customHeight="1">
      <c r="A9" s="64" t="s">
        <v>294</v>
      </c>
      <c r="B9" s="610" t="s">
        <v>295</v>
      </c>
      <c r="C9" s="62">
        <v>46.908999999999999</v>
      </c>
      <c r="D9" s="62">
        <v>99.832000000000008</v>
      </c>
      <c r="E9" s="62">
        <v>145.40600000000001</v>
      </c>
      <c r="F9" s="62">
        <v>194.52100000000002</v>
      </c>
      <c r="G9" s="593">
        <v>46.048999999999999</v>
      </c>
      <c r="H9" s="62">
        <v>102.423</v>
      </c>
      <c r="I9" s="62">
        <v>162.63200000000001</v>
      </c>
      <c r="J9" s="594">
        <v>220.37100000000001</v>
      </c>
      <c r="K9" s="62">
        <v>40.084000000000003</v>
      </c>
      <c r="L9" s="62">
        <v>85.1</v>
      </c>
      <c r="M9" s="62">
        <v>162.19999999999999</v>
      </c>
      <c r="N9" s="62">
        <v>224.4</v>
      </c>
      <c r="O9" s="593">
        <v>43.7</v>
      </c>
      <c r="P9" s="62">
        <v>90.5</v>
      </c>
      <c r="Q9" s="62">
        <v>149.9</v>
      </c>
      <c r="R9" s="594">
        <v>212.6</v>
      </c>
      <c r="S9" s="62">
        <v>49.1</v>
      </c>
      <c r="T9" s="62">
        <v>125.3</v>
      </c>
      <c r="U9" s="62">
        <v>173.5</v>
      </c>
      <c r="V9" s="62">
        <v>230.7</v>
      </c>
      <c r="W9" s="593">
        <v>48.5</v>
      </c>
      <c r="X9" s="62">
        <v>102.7</v>
      </c>
      <c r="Y9" s="62">
        <v>166.1</v>
      </c>
      <c r="Z9" s="594">
        <v>228.6</v>
      </c>
      <c r="AA9" s="62">
        <v>45.7</v>
      </c>
      <c r="AB9" s="62">
        <v>103.8</v>
      </c>
      <c r="AC9" s="62">
        <v>100.5</v>
      </c>
      <c r="AD9" s="62">
        <v>337</v>
      </c>
      <c r="AE9" s="593">
        <v>123.3</v>
      </c>
      <c r="AF9" s="62">
        <v>262.39999999999998</v>
      </c>
      <c r="AG9" s="62">
        <v>411</v>
      </c>
      <c r="AH9" s="594">
        <v>543.6</v>
      </c>
      <c r="AI9" s="62">
        <v>123.3</v>
      </c>
      <c r="AJ9" s="62">
        <v>262.39999999999998</v>
      </c>
      <c r="AK9" s="62">
        <v>411</v>
      </c>
      <c r="AL9" s="62">
        <v>543.6</v>
      </c>
      <c r="AM9" s="593">
        <v>125.1</v>
      </c>
      <c r="AN9" s="62">
        <v>246.4</v>
      </c>
      <c r="AO9" s="62">
        <v>372.4</v>
      </c>
      <c r="AP9" s="594">
        <v>519.6</v>
      </c>
      <c r="AQ9" s="62">
        <v>136.80000000000001</v>
      </c>
      <c r="AR9" s="62">
        <v>267.39999999999998</v>
      </c>
      <c r="AS9" s="62">
        <v>394.1</v>
      </c>
      <c r="AT9" s="594">
        <v>558.79999999999995</v>
      </c>
      <c r="AU9" s="62">
        <v>149.80000000000001</v>
      </c>
      <c r="AV9" s="234">
        <v>323</v>
      </c>
      <c r="AW9" s="483">
        <v>502.9</v>
      </c>
      <c r="AX9" s="594">
        <v>668.6</v>
      </c>
      <c r="AY9" s="62">
        <v>151.30000000000001</v>
      </c>
      <c r="AZ9" s="483">
        <v>318.60000000000002</v>
      </c>
      <c r="BA9" s="483">
        <v>492.8</v>
      </c>
      <c r="BB9" s="594">
        <v>660.5</v>
      </c>
      <c r="BC9" s="62">
        <v>146.4</v>
      </c>
      <c r="BD9" s="483">
        <v>302.89999999999998</v>
      </c>
      <c r="BE9" s="483">
        <v>401.7</v>
      </c>
      <c r="BF9" s="594">
        <v>519.70000000000005</v>
      </c>
      <c r="BG9" s="62">
        <v>111.6</v>
      </c>
      <c r="BH9" s="483"/>
      <c r="BI9" s="483"/>
      <c r="BJ9" s="594"/>
    </row>
    <row r="10" spans="1:483" ht="25.75">
      <c r="A10" s="64" t="s">
        <v>296</v>
      </c>
      <c r="B10" s="610" t="s">
        <v>297</v>
      </c>
      <c r="C10" s="62">
        <v>-1.0999999999999999E-2</v>
      </c>
      <c r="D10" s="62">
        <v>-0.25700000000000001</v>
      </c>
      <c r="E10" s="62">
        <v>-0.48299999999999998</v>
      </c>
      <c r="F10" s="62">
        <v>-0.111</v>
      </c>
      <c r="G10" s="593">
        <v>5.8000000000000003E-2</v>
      </c>
      <c r="H10" s="62">
        <v>7.2999999999999995E-2</v>
      </c>
      <c r="I10" s="62">
        <v>-38.896000000000001</v>
      </c>
      <c r="J10" s="594">
        <v>-35.765000000000001</v>
      </c>
      <c r="K10" s="62">
        <v>-5.2999999999999999E-2</v>
      </c>
      <c r="L10" s="62">
        <v>-0.7</v>
      </c>
      <c r="M10" s="62">
        <v>-2.4</v>
      </c>
      <c r="N10" s="62">
        <v>-2.9</v>
      </c>
      <c r="O10" s="593">
        <v>-0.4</v>
      </c>
      <c r="P10" s="62">
        <v>-4.8</v>
      </c>
      <c r="Q10" s="62">
        <v>-5.7</v>
      </c>
      <c r="R10" s="594">
        <v>-6.9</v>
      </c>
      <c r="S10" s="83" t="s">
        <v>250</v>
      </c>
      <c r="T10" s="83" t="s">
        <v>250</v>
      </c>
      <c r="U10" s="83" t="s">
        <v>250</v>
      </c>
      <c r="V10" s="83" t="s">
        <v>250</v>
      </c>
      <c r="W10" s="595" t="s">
        <v>250</v>
      </c>
      <c r="X10" s="83" t="s">
        <v>250</v>
      </c>
      <c r="Y10" s="83" t="s">
        <v>250</v>
      </c>
      <c r="Z10" s="596" t="s">
        <v>250</v>
      </c>
      <c r="AA10" s="83" t="s">
        <v>250</v>
      </c>
      <c r="AB10" s="83" t="s">
        <v>250</v>
      </c>
      <c r="AC10" s="83" t="s">
        <v>250</v>
      </c>
      <c r="AD10" s="83" t="s">
        <v>250</v>
      </c>
      <c r="AE10" s="595" t="s">
        <v>250</v>
      </c>
      <c r="AF10" s="83" t="s">
        <v>250</v>
      </c>
      <c r="AG10" s="83" t="s">
        <v>250</v>
      </c>
      <c r="AH10" s="596" t="s">
        <v>250</v>
      </c>
      <c r="AI10" s="83" t="s">
        <v>250</v>
      </c>
      <c r="AJ10" s="83" t="s">
        <v>250</v>
      </c>
      <c r="AK10" s="83" t="s">
        <v>250</v>
      </c>
      <c r="AL10" s="83" t="s">
        <v>250</v>
      </c>
      <c r="AM10" s="595" t="s">
        <v>250</v>
      </c>
      <c r="AN10" s="83" t="s">
        <v>250</v>
      </c>
      <c r="AO10" s="83" t="s">
        <v>250</v>
      </c>
      <c r="AP10" s="596" t="s">
        <v>250</v>
      </c>
      <c r="AQ10" s="83" t="s">
        <v>250</v>
      </c>
      <c r="AR10" s="83" t="s">
        <v>250</v>
      </c>
      <c r="AS10" s="83" t="s">
        <v>250</v>
      </c>
      <c r="AT10" s="596" t="s">
        <v>250</v>
      </c>
      <c r="AU10" s="83" t="s">
        <v>250</v>
      </c>
      <c r="AV10" s="236" t="s">
        <v>250</v>
      </c>
      <c r="AW10" s="83" t="s">
        <v>250</v>
      </c>
      <c r="AX10" s="596" t="s">
        <v>250</v>
      </c>
      <c r="AY10" s="83" t="s">
        <v>250</v>
      </c>
      <c r="AZ10" s="236" t="s">
        <v>250</v>
      </c>
      <c r="BA10" s="236" t="s">
        <v>250</v>
      </c>
      <c r="BB10" s="596" t="s">
        <v>250</v>
      </c>
      <c r="BC10" s="83" t="s">
        <v>250</v>
      </c>
      <c r="BD10" s="83" t="s">
        <v>250</v>
      </c>
      <c r="BE10" s="83" t="s">
        <v>250</v>
      </c>
      <c r="BF10" s="596" t="s">
        <v>250</v>
      </c>
      <c r="BG10" s="83" t="s">
        <v>250</v>
      </c>
      <c r="BH10" s="83"/>
      <c r="BI10" s="83"/>
      <c r="BJ10" s="596"/>
    </row>
    <row r="11" spans="1:483" ht="20.149999999999999" customHeight="1">
      <c r="A11" s="64" t="s">
        <v>298</v>
      </c>
      <c r="B11" s="610" t="s">
        <v>299</v>
      </c>
      <c r="C11" s="62">
        <v>2.3109999999999999</v>
      </c>
      <c r="D11" s="62">
        <v>4.6020000000000003</v>
      </c>
      <c r="E11" s="62">
        <v>6.1379999999999999</v>
      </c>
      <c r="F11" s="62">
        <v>9.2439999999999998</v>
      </c>
      <c r="G11" s="593">
        <v>3.504</v>
      </c>
      <c r="H11" s="62">
        <v>5.843</v>
      </c>
      <c r="I11" s="62">
        <v>6.3049999999999997</v>
      </c>
      <c r="J11" s="594">
        <v>6.407</v>
      </c>
      <c r="K11" s="62">
        <v>4.1000000000000002E-2</v>
      </c>
      <c r="L11" s="62">
        <v>0.1</v>
      </c>
      <c r="M11" s="62">
        <v>30.4</v>
      </c>
      <c r="N11" s="62">
        <v>30.5</v>
      </c>
      <c r="O11" s="593">
        <v>0.1</v>
      </c>
      <c r="P11" s="62">
        <v>0.5</v>
      </c>
      <c r="Q11" s="62">
        <v>0.5</v>
      </c>
      <c r="R11" s="594">
        <v>1.4</v>
      </c>
      <c r="S11" s="83" t="s">
        <v>250</v>
      </c>
      <c r="T11" s="83" t="s">
        <v>250</v>
      </c>
      <c r="U11" s="83" t="s">
        <v>250</v>
      </c>
      <c r="V11" s="83" t="s">
        <v>250</v>
      </c>
      <c r="W11" s="595" t="s">
        <v>250</v>
      </c>
      <c r="X11" s="83" t="s">
        <v>250</v>
      </c>
      <c r="Y11" s="83" t="s">
        <v>250</v>
      </c>
      <c r="Z11" s="596" t="s">
        <v>250</v>
      </c>
      <c r="AA11" s="83" t="s">
        <v>250</v>
      </c>
      <c r="AB11" s="83" t="s">
        <v>250</v>
      </c>
      <c r="AC11" s="83" t="s">
        <v>250</v>
      </c>
      <c r="AD11" s="83" t="s">
        <v>250</v>
      </c>
      <c r="AE11" s="595" t="s">
        <v>250</v>
      </c>
      <c r="AF11" s="83" t="s">
        <v>250</v>
      </c>
      <c r="AG11" s="83" t="s">
        <v>250</v>
      </c>
      <c r="AH11" s="596" t="s">
        <v>250</v>
      </c>
      <c r="AI11" s="83" t="s">
        <v>250</v>
      </c>
      <c r="AJ11" s="83" t="s">
        <v>250</v>
      </c>
      <c r="AK11" s="83" t="s">
        <v>250</v>
      </c>
      <c r="AL11" s="83" t="s">
        <v>250</v>
      </c>
      <c r="AM11" s="595" t="s">
        <v>250</v>
      </c>
      <c r="AN11" s="83" t="s">
        <v>250</v>
      </c>
      <c r="AO11" s="83" t="s">
        <v>250</v>
      </c>
      <c r="AP11" s="596" t="s">
        <v>250</v>
      </c>
      <c r="AQ11" s="83" t="s">
        <v>250</v>
      </c>
      <c r="AR11" s="83" t="s">
        <v>250</v>
      </c>
      <c r="AS11" s="83" t="s">
        <v>250</v>
      </c>
      <c r="AT11" s="596" t="s">
        <v>250</v>
      </c>
      <c r="AU11" s="83" t="s">
        <v>250</v>
      </c>
      <c r="AV11" s="236" t="s">
        <v>250</v>
      </c>
      <c r="AW11" s="83" t="s">
        <v>250</v>
      </c>
      <c r="AX11" s="596" t="s">
        <v>250</v>
      </c>
      <c r="AY11" s="83" t="s">
        <v>250</v>
      </c>
      <c r="AZ11" s="236" t="s">
        <v>250</v>
      </c>
      <c r="BA11" s="236" t="s">
        <v>250</v>
      </c>
      <c r="BB11" s="596" t="s">
        <v>250</v>
      </c>
      <c r="BC11" s="83" t="s">
        <v>250</v>
      </c>
      <c r="BD11" s="83" t="s">
        <v>250</v>
      </c>
      <c r="BE11" s="83" t="s">
        <v>250</v>
      </c>
      <c r="BF11" s="596" t="s">
        <v>250</v>
      </c>
      <c r="BG11" s="83" t="s">
        <v>250</v>
      </c>
      <c r="BH11" s="83"/>
      <c r="BI11" s="83"/>
      <c r="BJ11" s="596"/>
    </row>
    <row r="12" spans="1:483" ht="20.149999999999999" customHeight="1">
      <c r="A12" s="64" t="s">
        <v>300</v>
      </c>
      <c r="B12" s="610" t="s">
        <v>301</v>
      </c>
      <c r="C12" s="62">
        <v>52.017000000000003</v>
      </c>
      <c r="D12" s="62">
        <v>105.822</v>
      </c>
      <c r="E12" s="62">
        <v>156.893</v>
      </c>
      <c r="F12" s="62">
        <v>205.185</v>
      </c>
      <c r="G12" s="593">
        <v>46.368000000000002</v>
      </c>
      <c r="H12" s="62">
        <v>93.388999999999996</v>
      </c>
      <c r="I12" s="62">
        <v>140.42699999999999</v>
      </c>
      <c r="J12" s="594">
        <v>183.81100000000001</v>
      </c>
      <c r="K12" s="62">
        <v>90.381</v>
      </c>
      <c r="L12" s="62">
        <v>248.5</v>
      </c>
      <c r="M12" s="62">
        <v>421.4</v>
      </c>
      <c r="N12" s="62">
        <v>603.70000000000005</v>
      </c>
      <c r="O12" s="593">
        <v>177.4</v>
      </c>
      <c r="P12" s="62">
        <v>348.5</v>
      </c>
      <c r="Q12" s="62">
        <v>581.29999999999995</v>
      </c>
      <c r="R12" s="594">
        <v>763.6</v>
      </c>
      <c r="S12" s="62">
        <v>144.69999999999999</v>
      </c>
      <c r="T12" s="62">
        <v>285.89999999999998</v>
      </c>
      <c r="U12" s="62">
        <v>417.4</v>
      </c>
      <c r="V12" s="62">
        <v>541.9</v>
      </c>
      <c r="W12" s="593">
        <v>114.5</v>
      </c>
      <c r="X12" s="62">
        <v>228.7</v>
      </c>
      <c r="Y12" s="62">
        <v>331.1</v>
      </c>
      <c r="Z12" s="594">
        <v>432.3</v>
      </c>
      <c r="AA12" s="62">
        <v>68.5</v>
      </c>
      <c r="AB12" s="62">
        <v>166.7</v>
      </c>
      <c r="AC12" s="62">
        <v>269</v>
      </c>
      <c r="AD12" s="62">
        <v>401.6</v>
      </c>
      <c r="AE12" s="593">
        <v>94.5</v>
      </c>
      <c r="AF12" s="62">
        <v>189.2</v>
      </c>
      <c r="AG12" s="62">
        <v>291</v>
      </c>
      <c r="AH12" s="594">
        <v>388.2</v>
      </c>
      <c r="AI12" s="62">
        <v>107.2</v>
      </c>
      <c r="AJ12" s="62">
        <v>214.3</v>
      </c>
      <c r="AK12" s="62">
        <v>327.5</v>
      </c>
      <c r="AL12" s="62">
        <v>437.8</v>
      </c>
      <c r="AM12" s="593">
        <v>111.9</v>
      </c>
      <c r="AN12" s="62">
        <v>206.1</v>
      </c>
      <c r="AO12" s="62">
        <v>285.7</v>
      </c>
      <c r="AP12" s="594">
        <v>364.8</v>
      </c>
      <c r="AQ12" s="62">
        <v>78</v>
      </c>
      <c r="AR12" s="62">
        <v>154.9</v>
      </c>
      <c r="AS12" s="62">
        <v>223</v>
      </c>
      <c r="AT12" s="594">
        <v>299.39999999999998</v>
      </c>
      <c r="AU12" s="62">
        <v>112.3</v>
      </c>
      <c r="AV12" s="234">
        <v>271.2</v>
      </c>
      <c r="AW12" s="234">
        <v>466.2</v>
      </c>
      <c r="AX12" s="594">
        <v>660.6</v>
      </c>
      <c r="AY12" s="62">
        <v>236.9</v>
      </c>
      <c r="AZ12" s="62">
        <v>514</v>
      </c>
      <c r="BA12" s="6">
        <v>787.2</v>
      </c>
      <c r="BB12" s="594">
        <v>1078.2</v>
      </c>
      <c r="BC12" s="62">
        <v>264.2</v>
      </c>
      <c r="BD12" s="62">
        <v>515.20000000000005</v>
      </c>
      <c r="BE12" s="6">
        <v>771.5</v>
      </c>
      <c r="BF12" s="594">
        <v>1031.0999999999999</v>
      </c>
      <c r="BG12" s="944">
        <v>256.60000000000002</v>
      </c>
      <c r="BH12" s="62"/>
      <c r="BI12" s="6"/>
      <c r="BJ12" s="594"/>
    </row>
    <row r="13" spans="1:483" ht="20.149999999999999" customHeight="1">
      <c r="A13" s="64" t="s">
        <v>302</v>
      </c>
      <c r="B13" s="610" t="s">
        <v>303</v>
      </c>
      <c r="C13" s="62">
        <v>-7.2490000000000006</v>
      </c>
      <c r="D13" s="62">
        <v>-7.3810000000000002</v>
      </c>
      <c r="E13" s="62">
        <v>1.093</v>
      </c>
      <c r="F13" s="62">
        <v>16.173000000000002</v>
      </c>
      <c r="G13" s="593">
        <v>11.273</v>
      </c>
      <c r="H13" s="62">
        <v>4.4740000000000002</v>
      </c>
      <c r="I13" s="62">
        <v>5.9119999999999999</v>
      </c>
      <c r="J13" s="594">
        <v>14.839</v>
      </c>
      <c r="K13" s="62">
        <v>-16.302</v>
      </c>
      <c r="L13" s="62">
        <v>-41.8</v>
      </c>
      <c r="M13" s="62">
        <v>-14.7</v>
      </c>
      <c r="N13" s="62">
        <v>0.5</v>
      </c>
      <c r="O13" s="593">
        <v>48.6</v>
      </c>
      <c r="P13" s="62">
        <v>45.6</v>
      </c>
      <c r="Q13" s="62">
        <v>43.3</v>
      </c>
      <c r="R13" s="594">
        <v>26.4</v>
      </c>
      <c r="S13" s="62">
        <v>21.5</v>
      </c>
      <c r="T13" s="62">
        <v>11.7</v>
      </c>
      <c r="U13" s="62">
        <v>0.7</v>
      </c>
      <c r="V13" s="62">
        <v>3</v>
      </c>
      <c r="W13" s="593">
        <v>41.5</v>
      </c>
      <c r="X13" s="62">
        <v>-0.3</v>
      </c>
      <c r="Y13" s="62">
        <v>-16.899999999999999</v>
      </c>
      <c r="Z13" s="594">
        <v>-5</v>
      </c>
      <c r="AA13" s="62">
        <v>7.7</v>
      </c>
      <c r="AB13" s="62">
        <v>-45.1</v>
      </c>
      <c r="AC13" s="62">
        <v>-70.8</v>
      </c>
      <c r="AD13" s="62">
        <v>-77.2</v>
      </c>
      <c r="AE13" s="593">
        <v>60.3</v>
      </c>
      <c r="AF13" s="62">
        <v>51.4</v>
      </c>
      <c r="AG13" s="62">
        <v>36.299999999999997</v>
      </c>
      <c r="AH13" s="594">
        <v>89.1</v>
      </c>
      <c r="AI13" s="62">
        <v>60.3</v>
      </c>
      <c r="AJ13" s="62">
        <v>51.4</v>
      </c>
      <c r="AK13" s="62">
        <v>36.299999999999997</v>
      </c>
      <c r="AL13" s="62">
        <v>89.1</v>
      </c>
      <c r="AM13" s="593">
        <v>-85.7</v>
      </c>
      <c r="AN13" s="62">
        <v>-190.2</v>
      </c>
      <c r="AO13" s="62">
        <v>-96.4</v>
      </c>
      <c r="AP13" s="594">
        <v>13.2</v>
      </c>
      <c r="AQ13" s="62">
        <v>-5.4</v>
      </c>
      <c r="AR13" s="62">
        <v>-139.6</v>
      </c>
      <c r="AS13" s="62">
        <v>-215.3</v>
      </c>
      <c r="AT13" s="594">
        <v>-295.39999999999998</v>
      </c>
      <c r="AU13" s="62">
        <v>-1.8</v>
      </c>
      <c r="AV13" s="234">
        <v>-113.6</v>
      </c>
      <c r="AW13" s="234">
        <v>-66.900000000000006</v>
      </c>
      <c r="AX13" s="594">
        <v>-82.5</v>
      </c>
      <c r="AY13" s="62">
        <v>-109.8</v>
      </c>
      <c r="AZ13" s="62">
        <v>-107.4</v>
      </c>
      <c r="BA13" s="62">
        <v>-50.3</v>
      </c>
      <c r="BB13" s="594">
        <v>150.1</v>
      </c>
      <c r="BC13" s="62">
        <v>-4.2</v>
      </c>
      <c r="BD13" s="62">
        <v>24.4</v>
      </c>
      <c r="BE13" s="62">
        <v>125.9</v>
      </c>
      <c r="BF13" s="594">
        <v>117.5</v>
      </c>
      <c r="BG13" s="944">
        <v>-10.6</v>
      </c>
      <c r="BH13" s="62"/>
      <c r="BI13" s="62"/>
      <c r="BJ13" s="594"/>
    </row>
    <row r="14" spans="1:483" ht="20.149999999999999" customHeight="1">
      <c r="A14" s="64" t="s">
        <v>304</v>
      </c>
      <c r="B14" s="610" t="s">
        <v>305</v>
      </c>
      <c r="C14" s="62">
        <v>-48.496000000000002</v>
      </c>
      <c r="D14" s="62">
        <v>-85.073000000000008</v>
      </c>
      <c r="E14" s="62">
        <v>-90.59</v>
      </c>
      <c r="F14" s="62">
        <v>-106.816</v>
      </c>
      <c r="G14" s="593">
        <v>-18.654</v>
      </c>
      <c r="H14" s="62">
        <v>-16.358000000000001</v>
      </c>
      <c r="I14" s="62">
        <v>16.681000000000001</v>
      </c>
      <c r="J14" s="594">
        <v>60.908000000000001</v>
      </c>
      <c r="K14" s="62">
        <v>-5.1610000000000005</v>
      </c>
      <c r="L14" s="62">
        <v>-29.2</v>
      </c>
      <c r="M14" s="62">
        <v>-87.6</v>
      </c>
      <c r="N14" s="62">
        <v>-191.9</v>
      </c>
      <c r="O14" s="593">
        <v>-211.8</v>
      </c>
      <c r="P14" s="62">
        <v>-581.20000000000005</v>
      </c>
      <c r="Q14" s="62">
        <v>-349.3</v>
      </c>
      <c r="R14" s="594">
        <v>-478.2</v>
      </c>
      <c r="S14" s="62">
        <v>-33.9</v>
      </c>
      <c r="T14" s="62">
        <v>-105.3</v>
      </c>
      <c r="U14" s="62">
        <v>-164.6</v>
      </c>
      <c r="V14" s="62">
        <v>-329.9</v>
      </c>
      <c r="W14" s="593">
        <v>21.5</v>
      </c>
      <c r="X14" s="62">
        <v>-112.7</v>
      </c>
      <c r="Y14" s="62">
        <v>-224.5</v>
      </c>
      <c r="Z14" s="594">
        <v>-470.8</v>
      </c>
      <c r="AA14" s="62">
        <v>38.1</v>
      </c>
      <c r="AB14" s="62">
        <v>-516.5</v>
      </c>
      <c r="AC14" s="62">
        <v>-266.89999999999998</v>
      </c>
      <c r="AD14" s="62">
        <v>-289.10000000000002</v>
      </c>
      <c r="AE14" s="593">
        <v>155.9</v>
      </c>
      <c r="AF14" s="62">
        <v>8.1</v>
      </c>
      <c r="AG14" s="62">
        <v>-51.3</v>
      </c>
      <c r="AH14" s="594">
        <v>-312.5</v>
      </c>
      <c r="AI14" s="62">
        <v>158.4</v>
      </c>
      <c r="AJ14" s="62">
        <v>12.4</v>
      </c>
      <c r="AK14" s="62">
        <v>-48.3</v>
      </c>
      <c r="AL14" s="62">
        <v>-311.8</v>
      </c>
      <c r="AM14" s="593">
        <v>185.1</v>
      </c>
      <c r="AN14" s="62">
        <v>293.7</v>
      </c>
      <c r="AO14" s="62">
        <v>194.2</v>
      </c>
      <c r="AP14" s="594">
        <v>119.3</v>
      </c>
      <c r="AQ14" s="62">
        <v>-48.2</v>
      </c>
      <c r="AR14" s="62">
        <v>3.7</v>
      </c>
      <c r="AS14" s="62">
        <v>76.099999999999994</v>
      </c>
      <c r="AT14" s="594">
        <v>-25.7</v>
      </c>
      <c r="AU14" s="62">
        <v>41.7</v>
      </c>
      <c r="AV14" s="234">
        <v>-113.2</v>
      </c>
      <c r="AW14" s="234">
        <v>174.4</v>
      </c>
      <c r="AX14" s="594">
        <v>-0.9</v>
      </c>
      <c r="AY14" s="62">
        <v>132.5</v>
      </c>
      <c r="AZ14" s="62">
        <v>138.30000000000001</v>
      </c>
      <c r="BA14" s="62">
        <v>-246.2</v>
      </c>
      <c r="BB14" s="594">
        <v>-32.1</v>
      </c>
      <c r="BC14" s="62">
        <v>-71</v>
      </c>
      <c r="BD14" s="62">
        <v>-90.9</v>
      </c>
      <c r="BE14" s="62">
        <v>-14.9</v>
      </c>
      <c r="BF14" s="594">
        <v>-153.5</v>
      </c>
      <c r="BG14" s="944">
        <v>136.19999999999999</v>
      </c>
      <c r="BH14" s="62"/>
      <c r="BI14" s="62"/>
      <c r="BJ14" s="594"/>
    </row>
    <row r="15" spans="1:483" ht="20.149999999999999" customHeight="1">
      <c r="A15" s="172" t="s">
        <v>306</v>
      </c>
      <c r="B15" s="611" t="s">
        <v>307</v>
      </c>
      <c r="C15" s="62">
        <v>53.564</v>
      </c>
      <c r="D15" s="62">
        <v>51.881</v>
      </c>
      <c r="E15" s="62">
        <v>66.406999999999996</v>
      </c>
      <c r="F15" s="62">
        <v>67.872</v>
      </c>
      <c r="G15" s="593">
        <v>-36.840000000000003</v>
      </c>
      <c r="H15" s="62">
        <v>-56.231999999999999</v>
      </c>
      <c r="I15" s="62">
        <v>-85.896000000000001</v>
      </c>
      <c r="J15" s="594">
        <v>-104.93900000000001</v>
      </c>
      <c r="K15" s="62">
        <v>31.469000000000001</v>
      </c>
      <c r="L15" s="62">
        <v>-73.8</v>
      </c>
      <c r="M15" s="62">
        <v>-175.9</v>
      </c>
      <c r="N15" s="62">
        <v>-277.7</v>
      </c>
      <c r="O15" s="593">
        <v>-216.1</v>
      </c>
      <c r="P15" s="62">
        <v>69.3</v>
      </c>
      <c r="Q15" s="62">
        <v>-184.3</v>
      </c>
      <c r="R15" s="594">
        <v>-118</v>
      </c>
      <c r="S15" s="62">
        <v>-205.9</v>
      </c>
      <c r="T15" s="62">
        <v>-106.7</v>
      </c>
      <c r="U15" s="62">
        <v>-141.30000000000001</v>
      </c>
      <c r="V15" s="62">
        <v>-33.299999999999997</v>
      </c>
      <c r="W15" s="593">
        <v>-181.5</v>
      </c>
      <c r="X15" s="62">
        <v>-112.9</v>
      </c>
      <c r="Y15" s="62">
        <v>-90.1</v>
      </c>
      <c r="Z15" s="594">
        <v>183.1</v>
      </c>
      <c r="AA15" s="62">
        <v>-259.2</v>
      </c>
      <c r="AB15" s="62">
        <v>125.8</v>
      </c>
      <c r="AC15" s="62">
        <v>88</v>
      </c>
      <c r="AD15" s="62">
        <v>-44.2</v>
      </c>
      <c r="AE15" s="593">
        <v>-379.7</v>
      </c>
      <c r="AF15" s="62">
        <v>-183.1</v>
      </c>
      <c r="AG15" s="62">
        <v>-163.69999999999999</v>
      </c>
      <c r="AH15" s="594">
        <v>64.8</v>
      </c>
      <c r="AI15" s="62">
        <v>-439.5</v>
      </c>
      <c r="AJ15" s="62">
        <v>-264.7</v>
      </c>
      <c r="AK15" s="62">
        <v>-266.8</v>
      </c>
      <c r="AL15" s="62">
        <v>-25.7</v>
      </c>
      <c r="AM15" s="593">
        <v>-138.9</v>
      </c>
      <c r="AN15" s="62">
        <v>-265.5</v>
      </c>
      <c r="AO15" s="62">
        <v>-408.2</v>
      </c>
      <c r="AP15" s="594">
        <v>-401.3</v>
      </c>
      <c r="AQ15" s="62">
        <v>-2.1</v>
      </c>
      <c r="AR15" s="62">
        <v>-78.3</v>
      </c>
      <c r="AS15" s="62">
        <v>-92</v>
      </c>
      <c r="AT15" s="594">
        <v>-55</v>
      </c>
      <c r="AU15" s="62">
        <v>-143.80000000000001</v>
      </c>
      <c r="AV15" s="234">
        <v>-49.7</v>
      </c>
      <c r="AW15" s="234">
        <v>-391.4</v>
      </c>
      <c r="AX15" s="594">
        <v>-218.6</v>
      </c>
      <c r="AY15" s="62">
        <v>-330.2</v>
      </c>
      <c r="AZ15" s="62">
        <v>-55.2</v>
      </c>
      <c r="BA15" s="62">
        <v>-122.4</v>
      </c>
      <c r="BB15" s="594">
        <v>-268.5</v>
      </c>
      <c r="BC15" s="62">
        <v>0.6</v>
      </c>
      <c r="BD15" s="62">
        <v>-2.4</v>
      </c>
      <c r="BE15" s="62">
        <v>82.4</v>
      </c>
      <c r="BF15" s="594">
        <v>445.8</v>
      </c>
      <c r="BG15" s="944">
        <v>-135.19999999999999</v>
      </c>
      <c r="BH15" s="62"/>
      <c r="BI15" s="62"/>
      <c r="BJ15" s="594"/>
    </row>
    <row r="16" spans="1:483" ht="20.149999999999999" customHeight="1">
      <c r="A16" s="64" t="s">
        <v>308</v>
      </c>
      <c r="B16" s="610" t="s">
        <v>309</v>
      </c>
      <c r="C16" s="62"/>
      <c r="D16" s="62"/>
      <c r="E16" s="62"/>
      <c r="F16" s="62"/>
      <c r="G16" s="593"/>
      <c r="H16" s="62"/>
      <c r="I16" s="62"/>
      <c r="J16" s="594"/>
      <c r="K16" s="62"/>
      <c r="L16" s="62"/>
      <c r="M16" s="62"/>
      <c r="N16" s="62"/>
      <c r="O16" s="593"/>
      <c r="P16" s="62"/>
      <c r="Q16" s="62"/>
      <c r="R16" s="594"/>
      <c r="S16" s="62"/>
      <c r="T16" s="62"/>
      <c r="U16" s="62"/>
      <c r="V16" s="62"/>
      <c r="W16" s="593"/>
      <c r="X16" s="62"/>
      <c r="Y16" s="62"/>
      <c r="Z16" s="594"/>
      <c r="AA16" s="62">
        <v>29.6</v>
      </c>
      <c r="AB16" s="62">
        <v>48.1</v>
      </c>
      <c r="AC16" s="62">
        <v>55.2</v>
      </c>
      <c r="AD16" s="62">
        <v>47.8</v>
      </c>
      <c r="AE16" s="593">
        <v>-9.1999999999999993</v>
      </c>
      <c r="AF16" s="62">
        <v>-3.3</v>
      </c>
      <c r="AG16" s="62">
        <v>9.1999999999999993</v>
      </c>
      <c r="AH16" s="594">
        <v>9.6999999999999993</v>
      </c>
      <c r="AI16" s="62">
        <v>-9.1999999999999993</v>
      </c>
      <c r="AJ16" s="62">
        <v>-3.3</v>
      </c>
      <c r="AK16" s="62">
        <v>9.1999999999999993</v>
      </c>
      <c r="AL16" s="62">
        <v>9.6999999999999993</v>
      </c>
      <c r="AM16" s="593">
        <v>10.6</v>
      </c>
      <c r="AN16" s="62">
        <v>46.2</v>
      </c>
      <c r="AO16" s="62">
        <v>71.2</v>
      </c>
      <c r="AP16" s="594">
        <v>101</v>
      </c>
      <c r="AQ16" s="62">
        <v>32.1</v>
      </c>
      <c r="AR16" s="62">
        <v>61.5</v>
      </c>
      <c r="AS16" s="62">
        <v>99</v>
      </c>
      <c r="AT16" s="594">
        <v>119.7</v>
      </c>
      <c r="AU16" s="62">
        <v>24.2</v>
      </c>
      <c r="AV16" s="62">
        <v>43.9</v>
      </c>
      <c r="AW16" s="62">
        <v>56.5</v>
      </c>
      <c r="AX16" s="594">
        <v>55.1</v>
      </c>
      <c r="AY16" s="62">
        <v>-14.6</v>
      </c>
      <c r="AZ16" s="62">
        <v>-12.4</v>
      </c>
      <c r="BA16" s="62">
        <v>10.7</v>
      </c>
      <c r="BB16" s="594">
        <v>13.9</v>
      </c>
      <c r="BC16" s="62">
        <v>8.1999999999999993</v>
      </c>
      <c r="BD16" s="62">
        <v>12.4</v>
      </c>
      <c r="BE16" s="62">
        <v>11.3</v>
      </c>
      <c r="BF16" s="594">
        <v>7</v>
      </c>
      <c r="BG16" s="944">
        <v>3.5</v>
      </c>
      <c r="BH16" s="62"/>
      <c r="BI16" s="62"/>
      <c r="BJ16" s="594"/>
    </row>
    <row r="17" spans="1:62" ht="20.149999999999999" customHeight="1">
      <c r="A17" s="64" t="s">
        <v>310</v>
      </c>
      <c r="B17" s="610" t="s">
        <v>311</v>
      </c>
      <c r="C17" s="62"/>
      <c r="D17" s="62"/>
      <c r="E17" s="62"/>
      <c r="F17" s="62"/>
      <c r="G17" s="593"/>
      <c r="H17" s="62"/>
      <c r="I17" s="62"/>
      <c r="J17" s="594"/>
      <c r="K17" s="62"/>
      <c r="L17" s="62"/>
      <c r="M17" s="62"/>
      <c r="N17" s="62"/>
      <c r="O17" s="593"/>
      <c r="P17" s="62"/>
      <c r="Q17" s="62"/>
      <c r="R17" s="594"/>
      <c r="S17" s="62"/>
      <c r="T17" s="62"/>
      <c r="U17" s="62"/>
      <c r="V17" s="62"/>
      <c r="W17" s="593"/>
      <c r="X17" s="62"/>
      <c r="Y17" s="62"/>
      <c r="Z17" s="594"/>
      <c r="AA17" s="62">
        <v>-9.6</v>
      </c>
      <c r="AB17" s="62">
        <v>39.5</v>
      </c>
      <c r="AC17" s="62">
        <v>43.2</v>
      </c>
      <c r="AD17" s="62">
        <v>107.6</v>
      </c>
      <c r="AE17" s="593">
        <v>17.399999999999999</v>
      </c>
      <c r="AF17" s="62">
        <v>7</v>
      </c>
      <c r="AG17" s="62">
        <v>24.4</v>
      </c>
      <c r="AH17" s="594">
        <v>7.9</v>
      </c>
      <c r="AI17" s="62">
        <v>17.399999999999999</v>
      </c>
      <c r="AJ17" s="62">
        <v>7</v>
      </c>
      <c r="AK17" s="62">
        <v>24.4</v>
      </c>
      <c r="AL17" s="62">
        <v>7.9</v>
      </c>
      <c r="AM17" s="593">
        <v>12</v>
      </c>
      <c r="AN17" s="62">
        <v>-26.7</v>
      </c>
      <c r="AO17" s="62">
        <v>-41.4</v>
      </c>
      <c r="AP17" s="594">
        <v>-37.5</v>
      </c>
      <c r="AQ17" s="62">
        <v>-12.5</v>
      </c>
      <c r="AR17" s="62">
        <v>-28.9</v>
      </c>
      <c r="AS17" s="62">
        <v>-7.3</v>
      </c>
      <c r="AT17" s="594">
        <v>-30.6</v>
      </c>
      <c r="AU17" s="62">
        <v>-13.3</v>
      </c>
      <c r="AV17" s="62">
        <v>-28.1</v>
      </c>
      <c r="AW17" s="234">
        <v>-27.1</v>
      </c>
      <c r="AX17" s="594">
        <v>-48.1</v>
      </c>
      <c r="AY17" s="62">
        <v>22.1</v>
      </c>
      <c r="AZ17" s="62">
        <v>23.1</v>
      </c>
      <c r="BA17" s="62">
        <v>1.9</v>
      </c>
      <c r="BB17" s="594">
        <v>-38</v>
      </c>
      <c r="BC17" s="62">
        <v>37.700000000000003</v>
      </c>
      <c r="BD17" s="62">
        <v>70</v>
      </c>
      <c r="BE17" s="62">
        <v>88</v>
      </c>
      <c r="BF17" s="594">
        <v>-4.2</v>
      </c>
      <c r="BG17" s="944">
        <v>8.9</v>
      </c>
      <c r="BH17" s="62"/>
      <c r="BI17" s="62"/>
      <c r="BJ17" s="594"/>
    </row>
    <row r="18" spans="1:62" ht="14.15">
      <c r="A18" s="64" t="s">
        <v>312</v>
      </c>
      <c r="B18" s="610" t="s">
        <v>313</v>
      </c>
      <c r="C18" s="62">
        <v>-0.186</v>
      </c>
      <c r="D18" s="62">
        <v>4.0730000000000004</v>
      </c>
      <c r="E18" s="62">
        <v>0.502</v>
      </c>
      <c r="F18" s="62">
        <v>2.093</v>
      </c>
      <c r="G18" s="593">
        <v>-1.048</v>
      </c>
      <c r="H18" s="62">
        <v>2.4170000000000003</v>
      </c>
      <c r="I18" s="62">
        <v>-3.5390000000000001</v>
      </c>
      <c r="J18" s="594">
        <v>6.4770000000000003</v>
      </c>
      <c r="K18" s="62">
        <v>-13.309000000000001</v>
      </c>
      <c r="L18" s="62">
        <v>-1.5</v>
      </c>
      <c r="M18" s="62">
        <v>-17.399999999999999</v>
      </c>
      <c r="N18" s="62">
        <v>-4.9000000000000004</v>
      </c>
      <c r="O18" s="593">
        <v>-11.7</v>
      </c>
      <c r="P18" s="62">
        <v>-7.6</v>
      </c>
      <c r="Q18" s="62">
        <v>-17.7</v>
      </c>
      <c r="R18" s="594">
        <v>-3.9</v>
      </c>
      <c r="S18" s="62">
        <v>-11.1</v>
      </c>
      <c r="T18" s="62">
        <v>1</v>
      </c>
      <c r="U18" s="62">
        <v>-5.6</v>
      </c>
      <c r="V18" s="62">
        <v>-6.1</v>
      </c>
      <c r="W18" s="595" t="s">
        <v>250</v>
      </c>
      <c r="X18" s="62">
        <v>9.4</v>
      </c>
      <c r="Y18" s="62">
        <v>1.4</v>
      </c>
      <c r="Z18" s="594">
        <v>3.9</v>
      </c>
      <c r="AA18" s="83" t="s">
        <v>250</v>
      </c>
      <c r="AB18" s="83" t="s">
        <v>250</v>
      </c>
      <c r="AC18" s="83" t="s">
        <v>250</v>
      </c>
      <c r="AD18" s="83" t="s">
        <v>250</v>
      </c>
      <c r="AE18" s="595" t="s">
        <v>250</v>
      </c>
      <c r="AF18" s="83" t="s">
        <v>250</v>
      </c>
      <c r="AG18" s="83" t="s">
        <v>250</v>
      </c>
      <c r="AH18" s="596" t="s">
        <v>250</v>
      </c>
      <c r="AI18" s="83" t="s">
        <v>250</v>
      </c>
      <c r="AJ18" s="83" t="s">
        <v>250</v>
      </c>
      <c r="AK18" s="83" t="s">
        <v>250</v>
      </c>
      <c r="AL18" s="83" t="s">
        <v>250</v>
      </c>
      <c r="AM18" s="595" t="s">
        <v>250</v>
      </c>
      <c r="AN18" s="83" t="s">
        <v>250</v>
      </c>
      <c r="AO18" s="83" t="s">
        <v>250</v>
      </c>
      <c r="AP18" s="596" t="s">
        <v>250</v>
      </c>
      <c r="AQ18" s="83" t="s">
        <v>250</v>
      </c>
      <c r="AR18" s="83" t="s">
        <v>250</v>
      </c>
      <c r="AS18" s="83" t="s">
        <v>250</v>
      </c>
      <c r="AT18" s="596" t="s">
        <v>250</v>
      </c>
      <c r="AU18" s="83" t="s">
        <v>250</v>
      </c>
      <c r="AV18" s="83" t="s">
        <v>250</v>
      </c>
      <c r="AW18" s="83" t="s">
        <v>250</v>
      </c>
      <c r="AX18" s="596" t="s">
        <v>250</v>
      </c>
      <c r="AY18" s="83" t="s">
        <v>250</v>
      </c>
      <c r="AZ18" s="83" t="s">
        <v>250</v>
      </c>
      <c r="BA18" s="83" t="s">
        <v>250</v>
      </c>
      <c r="BB18" s="596" t="s">
        <v>250</v>
      </c>
      <c r="BC18" s="83" t="s">
        <v>250</v>
      </c>
      <c r="BD18" s="83" t="s">
        <v>250</v>
      </c>
      <c r="BE18" s="83" t="s">
        <v>250</v>
      </c>
      <c r="BF18" s="596" t="s">
        <v>250</v>
      </c>
      <c r="BG18" s="83" t="s">
        <v>250</v>
      </c>
      <c r="BH18" s="83"/>
      <c r="BI18" s="83"/>
      <c r="BJ18" s="596"/>
    </row>
    <row r="19" spans="1:62" ht="20.149999999999999" customHeight="1">
      <c r="A19" s="64" t="s">
        <v>314</v>
      </c>
      <c r="B19" s="610" t="s">
        <v>315</v>
      </c>
      <c r="C19" s="62">
        <v>-9.7880000000000003</v>
      </c>
      <c r="D19" s="62">
        <v>-10.354000000000001</v>
      </c>
      <c r="E19" s="62">
        <v>-21.978000000000002</v>
      </c>
      <c r="F19" s="62">
        <v>-31.345000000000002</v>
      </c>
      <c r="G19" s="593">
        <v>3.66</v>
      </c>
      <c r="H19" s="62">
        <v>9.0690000000000008</v>
      </c>
      <c r="I19" s="62">
        <v>11.329000000000001</v>
      </c>
      <c r="J19" s="594">
        <v>14.404</v>
      </c>
      <c r="K19" s="62">
        <v>11.066000000000001</v>
      </c>
      <c r="L19" s="62">
        <v>11.1</v>
      </c>
      <c r="M19" s="62">
        <v>-0.2</v>
      </c>
      <c r="N19" s="62">
        <v>-3.9</v>
      </c>
      <c r="O19" s="593">
        <v>-0.6</v>
      </c>
      <c r="P19" s="62">
        <v>5.3</v>
      </c>
      <c r="Q19" s="62">
        <v>4.8</v>
      </c>
      <c r="R19" s="594">
        <v>6.6</v>
      </c>
      <c r="S19" s="62">
        <v>2.5</v>
      </c>
      <c r="T19" s="62">
        <v>4.7</v>
      </c>
      <c r="U19" s="62">
        <v>7.3</v>
      </c>
      <c r="V19" s="62">
        <v>9.8000000000000007</v>
      </c>
      <c r="W19" s="595" t="s">
        <v>250</v>
      </c>
      <c r="X19" s="83" t="s">
        <v>250</v>
      </c>
      <c r="Y19" s="83" t="s">
        <v>250</v>
      </c>
      <c r="Z19" s="596" t="s">
        <v>250</v>
      </c>
      <c r="AA19" s="83" t="s">
        <v>250</v>
      </c>
      <c r="AB19" s="83" t="s">
        <v>250</v>
      </c>
      <c r="AC19" s="83" t="s">
        <v>250</v>
      </c>
      <c r="AD19" s="83" t="s">
        <v>250</v>
      </c>
      <c r="AE19" s="595" t="s">
        <v>250</v>
      </c>
      <c r="AF19" s="83" t="s">
        <v>250</v>
      </c>
      <c r="AG19" s="83" t="s">
        <v>250</v>
      </c>
      <c r="AH19" s="596" t="s">
        <v>250</v>
      </c>
      <c r="AI19" s="83" t="s">
        <v>250</v>
      </c>
      <c r="AJ19" s="83" t="s">
        <v>250</v>
      </c>
      <c r="AK19" s="83" t="s">
        <v>250</v>
      </c>
      <c r="AL19" s="83" t="s">
        <v>250</v>
      </c>
      <c r="AM19" s="595" t="s">
        <v>250</v>
      </c>
      <c r="AN19" s="83" t="s">
        <v>250</v>
      </c>
      <c r="AO19" s="83" t="s">
        <v>250</v>
      </c>
      <c r="AP19" s="596" t="s">
        <v>250</v>
      </c>
      <c r="AQ19" s="83" t="s">
        <v>250</v>
      </c>
      <c r="AR19" s="83" t="s">
        <v>250</v>
      </c>
      <c r="AS19" s="83" t="s">
        <v>250</v>
      </c>
      <c r="AT19" s="596" t="s">
        <v>250</v>
      </c>
      <c r="AU19" s="83" t="s">
        <v>250</v>
      </c>
      <c r="AV19" s="62">
        <v>31.9</v>
      </c>
      <c r="AW19" s="83" t="s">
        <v>250</v>
      </c>
      <c r="AX19" s="596" t="s">
        <v>250</v>
      </c>
      <c r="AY19" s="83" t="s">
        <v>250</v>
      </c>
      <c r="AZ19" s="62">
        <v>-17.7</v>
      </c>
      <c r="BA19" s="62">
        <v>-30.1</v>
      </c>
      <c r="BB19" s="594">
        <v>-28.8</v>
      </c>
      <c r="BC19" s="62">
        <v>0</v>
      </c>
      <c r="BD19" s="62">
        <v>5.3</v>
      </c>
      <c r="BE19" s="62">
        <v>-6.4</v>
      </c>
      <c r="BF19" s="594">
        <v>-0.24</v>
      </c>
      <c r="BG19" s="62">
        <v>0</v>
      </c>
      <c r="BH19" s="62"/>
      <c r="BI19" s="62"/>
      <c r="BJ19" s="594"/>
    </row>
    <row r="20" spans="1:62" ht="25.75">
      <c r="A20" s="64" t="s">
        <v>316</v>
      </c>
      <c r="B20" s="610" t="s">
        <v>317</v>
      </c>
      <c r="C20" s="62">
        <v>-0.73</v>
      </c>
      <c r="D20" s="62">
        <v>-1.5010000000000001</v>
      </c>
      <c r="E20" s="62">
        <v>-2.044</v>
      </c>
      <c r="F20" s="62">
        <v>-2.8970000000000002</v>
      </c>
      <c r="G20" s="593">
        <v>-0.76200000000000001</v>
      </c>
      <c r="H20" s="62">
        <v>-1.58</v>
      </c>
      <c r="I20" s="62">
        <v>-2.3290000000000002</v>
      </c>
      <c r="J20" s="594">
        <v>-2.9239999999999999</v>
      </c>
      <c r="K20" s="62">
        <v>-0.63300000000000001</v>
      </c>
      <c r="L20" s="62">
        <v>-1.3</v>
      </c>
      <c r="M20" s="62">
        <v>-2</v>
      </c>
      <c r="N20" s="62">
        <v>-2.6</v>
      </c>
      <c r="O20" s="593">
        <v>-0.5</v>
      </c>
      <c r="P20" s="62">
        <v>-1.4</v>
      </c>
      <c r="Q20" s="62">
        <v>-1.9</v>
      </c>
      <c r="R20" s="594">
        <v>-2.6</v>
      </c>
      <c r="S20" s="62">
        <v>-0.8</v>
      </c>
      <c r="T20" s="62">
        <v>0</v>
      </c>
      <c r="U20" s="62">
        <v>0</v>
      </c>
      <c r="V20" s="62">
        <v>0</v>
      </c>
      <c r="W20" s="595" t="s">
        <v>250</v>
      </c>
      <c r="X20" s="83" t="s">
        <v>250</v>
      </c>
      <c r="Y20" s="83" t="s">
        <v>250</v>
      </c>
      <c r="Z20" s="596" t="s">
        <v>250</v>
      </c>
      <c r="AA20" s="83" t="s">
        <v>250</v>
      </c>
      <c r="AB20" s="83" t="s">
        <v>250</v>
      </c>
      <c r="AC20" s="83" t="s">
        <v>250</v>
      </c>
      <c r="AD20" s="83" t="s">
        <v>250</v>
      </c>
      <c r="AE20" s="595" t="s">
        <v>250</v>
      </c>
      <c r="AF20" s="83" t="s">
        <v>250</v>
      </c>
      <c r="AG20" s="83" t="s">
        <v>250</v>
      </c>
      <c r="AH20" s="596" t="s">
        <v>250</v>
      </c>
      <c r="AI20" s="83" t="s">
        <v>250</v>
      </c>
      <c r="AJ20" s="83" t="s">
        <v>250</v>
      </c>
      <c r="AK20" s="83" t="s">
        <v>250</v>
      </c>
      <c r="AL20" s="83" t="s">
        <v>250</v>
      </c>
      <c r="AM20" s="595" t="s">
        <v>250</v>
      </c>
      <c r="AN20" s="83" t="s">
        <v>250</v>
      </c>
      <c r="AO20" s="83" t="s">
        <v>250</v>
      </c>
      <c r="AP20" s="596" t="s">
        <v>250</v>
      </c>
      <c r="AQ20" s="83" t="s">
        <v>250</v>
      </c>
      <c r="AR20" s="83" t="s">
        <v>250</v>
      </c>
      <c r="AS20" s="83" t="s">
        <v>250</v>
      </c>
      <c r="AT20" s="596" t="s">
        <v>250</v>
      </c>
      <c r="AU20" s="83" t="s">
        <v>250</v>
      </c>
      <c r="AV20" s="83" t="s">
        <v>250</v>
      </c>
      <c r="AW20" s="83" t="s">
        <v>250</v>
      </c>
      <c r="AX20" s="596" t="s">
        <v>250</v>
      </c>
      <c r="AY20" s="83" t="s">
        <v>250</v>
      </c>
      <c r="AZ20" s="83" t="s">
        <v>250</v>
      </c>
      <c r="BA20" s="83" t="s">
        <v>250</v>
      </c>
      <c r="BB20" s="596" t="s">
        <v>250</v>
      </c>
      <c r="BC20" s="83" t="s">
        <v>250</v>
      </c>
      <c r="BD20" s="83" t="s">
        <v>250</v>
      </c>
      <c r="BE20" s="83"/>
      <c r="BF20" s="596" t="s">
        <v>250</v>
      </c>
      <c r="BG20" s="83" t="s">
        <v>250</v>
      </c>
      <c r="BH20" s="83"/>
      <c r="BI20" s="83"/>
      <c r="BJ20" s="596"/>
    </row>
    <row r="21" spans="1:62" ht="25.75">
      <c r="A21" s="172" t="s">
        <v>318</v>
      </c>
      <c r="B21" s="611" t="s">
        <v>319</v>
      </c>
      <c r="C21" s="62">
        <v>-0.73</v>
      </c>
      <c r="D21" s="62"/>
      <c r="E21" s="62"/>
      <c r="F21" s="62"/>
      <c r="G21" s="593"/>
      <c r="H21" s="62"/>
      <c r="I21" s="62"/>
      <c r="J21" s="594"/>
      <c r="K21" s="62"/>
      <c r="L21" s="62"/>
      <c r="M21" s="62"/>
      <c r="N21" s="62"/>
      <c r="O21" s="593"/>
      <c r="P21" s="62"/>
      <c r="Q21" s="62"/>
      <c r="R21" s="594"/>
      <c r="S21" s="62"/>
      <c r="T21" s="62"/>
      <c r="U21" s="62"/>
      <c r="V21" s="62">
        <v>0</v>
      </c>
      <c r="W21" s="595"/>
      <c r="X21" s="83"/>
      <c r="Y21" s="83"/>
      <c r="Z21" s="594">
        <v>-2.8</v>
      </c>
      <c r="AA21" s="62">
        <v>-5.2</v>
      </c>
      <c r="AB21" s="62">
        <v>-5.0999999999999996</v>
      </c>
      <c r="AC21" s="62">
        <v>-1.6</v>
      </c>
      <c r="AD21" s="62">
        <v>1.2</v>
      </c>
      <c r="AE21" s="593">
        <v>1.7</v>
      </c>
      <c r="AF21" s="62">
        <v>3.6</v>
      </c>
      <c r="AG21" s="62">
        <v>4.9000000000000004</v>
      </c>
      <c r="AH21" s="594">
        <v>6.5</v>
      </c>
      <c r="AI21" s="62">
        <v>1.7</v>
      </c>
      <c r="AJ21" s="62">
        <v>3.6</v>
      </c>
      <c r="AK21" s="62">
        <v>4.9000000000000004</v>
      </c>
      <c r="AL21" s="62">
        <v>6.5</v>
      </c>
      <c r="AM21" s="593">
        <v>-16.3</v>
      </c>
      <c r="AN21" s="62">
        <v>-34.1</v>
      </c>
      <c r="AO21" s="62">
        <v>-47.6</v>
      </c>
      <c r="AP21" s="594">
        <v>-2</v>
      </c>
      <c r="AQ21" s="62">
        <v>-16.5</v>
      </c>
      <c r="AR21" s="62">
        <v>-41.5</v>
      </c>
      <c r="AS21" s="62">
        <v>-64</v>
      </c>
      <c r="AT21" s="594">
        <v>-75.400000000000006</v>
      </c>
      <c r="AU21" s="62">
        <v>-14.7</v>
      </c>
      <c r="AV21" s="62">
        <v>-38.9</v>
      </c>
      <c r="AW21" s="62">
        <v>-62.7</v>
      </c>
      <c r="AX21" s="601">
        <v>-94.5</v>
      </c>
      <c r="AY21" s="62">
        <v>-20.3</v>
      </c>
      <c r="AZ21" s="62">
        <v>-10.4</v>
      </c>
      <c r="BA21" s="62">
        <v>-29.7</v>
      </c>
      <c r="BB21" s="594">
        <v>-29.7</v>
      </c>
      <c r="BC21" s="62">
        <v>0</v>
      </c>
      <c r="BD21" s="62">
        <v>-0.1</v>
      </c>
      <c r="BE21" s="62">
        <v>0.7</v>
      </c>
      <c r="BF21" s="594">
        <v>0.7</v>
      </c>
      <c r="BG21" s="62">
        <v>0</v>
      </c>
      <c r="BH21" s="62"/>
      <c r="BI21" s="62"/>
      <c r="BJ21" s="594"/>
    </row>
    <row r="22" spans="1:62" ht="20.149999999999999" customHeight="1">
      <c r="A22" s="64" t="s">
        <v>320</v>
      </c>
      <c r="B22" s="610" t="s">
        <v>321</v>
      </c>
      <c r="C22" s="62">
        <v>-87.786000000000001</v>
      </c>
      <c r="D22" s="62">
        <v>-51.798000000000002</v>
      </c>
      <c r="E22" s="62">
        <v>-102.06700000000001</v>
      </c>
      <c r="F22" s="62">
        <v>-111.07600000000001</v>
      </c>
      <c r="G22" s="593">
        <v>25.975999999999999</v>
      </c>
      <c r="H22" s="62">
        <v>77.412999999999997</v>
      </c>
      <c r="I22" s="62">
        <v>39.252000000000002</v>
      </c>
      <c r="J22" s="594">
        <v>16.294</v>
      </c>
      <c r="K22" s="62">
        <v>10.337</v>
      </c>
      <c r="L22" s="62">
        <v>8.8000000000000007</v>
      </c>
      <c r="M22" s="62">
        <v>164.9</v>
      </c>
      <c r="N22" s="62">
        <v>369.9</v>
      </c>
      <c r="O22" s="593">
        <v>37.1</v>
      </c>
      <c r="P22" s="62">
        <v>99.2</v>
      </c>
      <c r="Q22" s="62">
        <v>135.80000000000001</v>
      </c>
      <c r="R22" s="594">
        <v>222</v>
      </c>
      <c r="S22" s="62">
        <v>250.2</v>
      </c>
      <c r="T22" s="62">
        <v>276.10000000000002</v>
      </c>
      <c r="U22" s="62">
        <v>258.3</v>
      </c>
      <c r="V22" s="62">
        <v>270.89999999999998</v>
      </c>
      <c r="W22" s="593">
        <v>-28.4</v>
      </c>
      <c r="X22" s="62">
        <v>-27.4</v>
      </c>
      <c r="Y22" s="62">
        <v>-15.1</v>
      </c>
      <c r="Z22" s="594">
        <v>-31.1</v>
      </c>
      <c r="AA22" s="62">
        <v>4.5999999999999996</v>
      </c>
      <c r="AB22" s="62">
        <v>24.1</v>
      </c>
      <c r="AC22" s="62">
        <v>11.1</v>
      </c>
      <c r="AD22" s="62">
        <v>15.8</v>
      </c>
      <c r="AE22" s="593">
        <v>1.1000000000000001</v>
      </c>
      <c r="AF22" s="62">
        <v>-3.3</v>
      </c>
      <c r="AG22" s="62">
        <v>5.7</v>
      </c>
      <c r="AH22" s="594">
        <v>-2.2999999999999998</v>
      </c>
      <c r="AI22" s="62">
        <v>1.9</v>
      </c>
      <c r="AJ22" s="62">
        <v>-6.3</v>
      </c>
      <c r="AK22" s="62">
        <v>12.2</v>
      </c>
      <c r="AL22" s="62">
        <v>-4.8</v>
      </c>
      <c r="AM22" s="593">
        <v>41.2</v>
      </c>
      <c r="AN22" s="62">
        <v>29.4</v>
      </c>
      <c r="AO22" s="62">
        <v>35.9</v>
      </c>
      <c r="AP22" s="594">
        <v>45.8</v>
      </c>
      <c r="AQ22" s="62">
        <v>8.3000000000000007</v>
      </c>
      <c r="AR22" s="62">
        <v>-9.1</v>
      </c>
      <c r="AS22" s="62">
        <v>0.2</v>
      </c>
      <c r="AT22" s="594">
        <v>-1.9</v>
      </c>
      <c r="AU22" s="62">
        <v>2.6</v>
      </c>
      <c r="AV22" s="62">
        <v>6.9</v>
      </c>
      <c r="AW22" s="62">
        <v>18.600000000000001</v>
      </c>
      <c r="AX22" s="594">
        <v>14.6</v>
      </c>
      <c r="AY22" s="62">
        <v>0.1</v>
      </c>
      <c r="AZ22" s="62">
        <v>-19.7</v>
      </c>
      <c r="BA22" s="62">
        <v>43.3</v>
      </c>
      <c r="BB22" s="594">
        <v>-119.8</v>
      </c>
      <c r="BC22" s="62">
        <v>-20.5</v>
      </c>
      <c r="BD22" s="62">
        <v>-17.3</v>
      </c>
      <c r="BE22" s="62">
        <v>-32.799999999999997</v>
      </c>
      <c r="BF22" s="594">
        <v>-41.2</v>
      </c>
      <c r="BG22" s="62">
        <v>-51.6</v>
      </c>
      <c r="BH22" s="62"/>
      <c r="BI22" s="62"/>
      <c r="BJ22" s="594"/>
    </row>
    <row r="23" spans="1:62" ht="20.149999999999999" customHeight="1">
      <c r="A23" s="64" t="s">
        <v>322</v>
      </c>
      <c r="B23" s="610" t="s">
        <v>80</v>
      </c>
      <c r="C23" s="62">
        <v>41.158999999999999</v>
      </c>
      <c r="D23" s="62">
        <v>54.56</v>
      </c>
      <c r="E23" s="62">
        <v>80.768000000000001</v>
      </c>
      <c r="F23" s="62">
        <v>97.349000000000004</v>
      </c>
      <c r="G23" s="593">
        <v>14.031000000000001</v>
      </c>
      <c r="H23" s="62">
        <v>27.457000000000001</v>
      </c>
      <c r="I23" s="62">
        <v>51.835000000000001</v>
      </c>
      <c r="J23" s="594">
        <v>67.376000000000005</v>
      </c>
      <c r="K23" s="62">
        <v>14.384</v>
      </c>
      <c r="L23" s="62">
        <v>31.1</v>
      </c>
      <c r="M23" s="62">
        <v>32.200000000000003</v>
      </c>
      <c r="N23" s="62">
        <v>21.7</v>
      </c>
      <c r="O23" s="593">
        <v>26</v>
      </c>
      <c r="P23" s="62">
        <v>71.900000000000006</v>
      </c>
      <c r="Q23" s="62">
        <v>182.7</v>
      </c>
      <c r="R23" s="594">
        <v>169</v>
      </c>
      <c r="S23" s="62">
        <v>27.2</v>
      </c>
      <c r="T23" s="62">
        <v>48.4</v>
      </c>
      <c r="U23" s="62">
        <v>113.5</v>
      </c>
      <c r="V23" s="62">
        <v>12.4</v>
      </c>
      <c r="W23" s="593">
        <v>30.8</v>
      </c>
      <c r="X23" s="62">
        <v>138.4</v>
      </c>
      <c r="Y23" s="62">
        <v>192.6</v>
      </c>
      <c r="Z23" s="594">
        <v>389.8</v>
      </c>
      <c r="AA23" s="62">
        <v>72.5</v>
      </c>
      <c r="AB23" s="62">
        <v>171.8</v>
      </c>
      <c r="AC23" s="62">
        <v>247.8</v>
      </c>
      <c r="AD23" s="62">
        <v>490</v>
      </c>
      <c r="AE23" s="593">
        <v>78</v>
      </c>
      <c r="AF23" s="62">
        <v>164.9</v>
      </c>
      <c r="AG23" s="62">
        <v>236.9</v>
      </c>
      <c r="AH23" s="594">
        <v>355.8</v>
      </c>
      <c r="AI23" s="62">
        <v>77.3</v>
      </c>
      <c r="AJ23" s="62">
        <v>163.80000000000001</v>
      </c>
      <c r="AK23" s="62">
        <v>233.3</v>
      </c>
      <c r="AL23" s="62">
        <v>353</v>
      </c>
      <c r="AM23" s="593">
        <v>66.7</v>
      </c>
      <c r="AN23" s="62">
        <v>139</v>
      </c>
      <c r="AO23" s="62">
        <v>220.6</v>
      </c>
      <c r="AP23" s="594">
        <v>295.89999999999998</v>
      </c>
      <c r="AQ23" s="62">
        <v>108.1</v>
      </c>
      <c r="AR23" s="62">
        <v>222.4</v>
      </c>
      <c r="AS23" s="62">
        <v>1156.4000000000001</v>
      </c>
      <c r="AT23" s="594">
        <v>1251.5999999999999</v>
      </c>
      <c r="AU23" s="62">
        <v>52.3</v>
      </c>
      <c r="AV23" s="62">
        <v>94.6</v>
      </c>
      <c r="AW23" s="62">
        <v>160.80000000000001</v>
      </c>
      <c r="AX23" s="594">
        <v>209.2</v>
      </c>
      <c r="AY23" s="62">
        <v>13.1</v>
      </c>
      <c r="AZ23" s="62">
        <v>45.2</v>
      </c>
      <c r="BA23" s="62">
        <v>114.1</v>
      </c>
      <c r="BB23" s="594">
        <v>110.2</v>
      </c>
      <c r="BC23" s="62">
        <v>86.3</v>
      </c>
      <c r="BD23" s="62">
        <v>124</v>
      </c>
      <c r="BE23" s="62">
        <v>246.1</v>
      </c>
      <c r="BF23" s="594">
        <v>302.2</v>
      </c>
      <c r="BG23" s="62">
        <v>35.799999999999997</v>
      </c>
      <c r="BH23" s="62"/>
      <c r="BI23" s="62"/>
      <c r="BJ23" s="594"/>
    </row>
    <row r="24" spans="1:62" ht="20.149999999999999" customHeight="1">
      <c r="A24" s="64" t="s">
        <v>323</v>
      </c>
      <c r="B24" s="611" t="s">
        <v>324</v>
      </c>
      <c r="C24" s="62">
        <v>-38.363</v>
      </c>
      <c r="D24" s="62">
        <v>-76.626000000000005</v>
      </c>
      <c r="E24" s="62">
        <v>-120.02500000000001</v>
      </c>
      <c r="F24" s="62">
        <v>-164.00800000000001</v>
      </c>
      <c r="G24" s="593">
        <v>-40.92</v>
      </c>
      <c r="H24" s="62">
        <v>-81.858999999999995</v>
      </c>
      <c r="I24" s="62">
        <v>-116.813</v>
      </c>
      <c r="J24" s="594">
        <v>-158.85900000000001</v>
      </c>
      <c r="K24" s="62">
        <v>-30.564</v>
      </c>
      <c r="L24" s="62">
        <v>-65.3</v>
      </c>
      <c r="M24" s="62">
        <v>-142.1</v>
      </c>
      <c r="N24" s="62">
        <v>-193.1</v>
      </c>
      <c r="O24" s="593">
        <v>-43.6</v>
      </c>
      <c r="P24" s="62">
        <v>-72.2</v>
      </c>
      <c r="Q24" s="62">
        <v>-96.7</v>
      </c>
      <c r="R24" s="594">
        <v>-134.69999999999999</v>
      </c>
      <c r="S24" s="62">
        <v>-31.1</v>
      </c>
      <c r="T24" s="62">
        <v>-71.2</v>
      </c>
      <c r="U24" s="62">
        <v>-111</v>
      </c>
      <c r="V24" s="62">
        <v>-153</v>
      </c>
      <c r="W24" s="593">
        <v>-33.1</v>
      </c>
      <c r="X24" s="62">
        <v>-65.599999999999994</v>
      </c>
      <c r="Y24" s="62">
        <v>-97.4</v>
      </c>
      <c r="Z24" s="594">
        <v>-137.5</v>
      </c>
      <c r="AA24" s="62">
        <v>-25.7</v>
      </c>
      <c r="AB24" s="62">
        <v>-42.9</v>
      </c>
      <c r="AC24" s="62">
        <v>-61.2</v>
      </c>
      <c r="AD24" s="62">
        <v>-83.9</v>
      </c>
      <c r="AE24" s="593">
        <v>-25.8</v>
      </c>
      <c r="AF24" s="62">
        <v>-48.8</v>
      </c>
      <c r="AG24" s="62">
        <v>-79.5</v>
      </c>
      <c r="AH24" s="594">
        <v>-122.8</v>
      </c>
      <c r="AI24" s="62">
        <v>-25.8</v>
      </c>
      <c r="AJ24" s="62">
        <v>-48.8</v>
      </c>
      <c r="AK24" s="62">
        <v>-79.5</v>
      </c>
      <c r="AL24" s="62">
        <v>-122.8</v>
      </c>
      <c r="AM24" s="593">
        <v>-33.1</v>
      </c>
      <c r="AN24" s="62">
        <v>-71</v>
      </c>
      <c r="AO24" s="62">
        <v>-112.2</v>
      </c>
      <c r="AP24" s="594">
        <v>-147.1</v>
      </c>
      <c r="AQ24" s="62">
        <v>-33.9</v>
      </c>
      <c r="AR24" s="62">
        <v>-55.5</v>
      </c>
      <c r="AS24" s="62">
        <v>-78.099999999999994</v>
      </c>
      <c r="AT24" s="594">
        <v>-110</v>
      </c>
      <c r="AU24" s="62">
        <v>-37.700000000000003</v>
      </c>
      <c r="AV24" s="62">
        <v>-66.400000000000006</v>
      </c>
      <c r="AW24" s="62">
        <v>-84.5</v>
      </c>
      <c r="AX24" s="594">
        <v>-113.1</v>
      </c>
      <c r="AY24" s="62">
        <v>-24.8</v>
      </c>
      <c r="AZ24" s="62">
        <v>-47.2</v>
      </c>
      <c r="BA24" s="62">
        <v>-89.5</v>
      </c>
      <c r="BB24" s="594">
        <v>-145.80000000000001</v>
      </c>
      <c r="BC24" s="62">
        <v>-45.8</v>
      </c>
      <c r="BD24" s="62">
        <v>-78.599999999999994</v>
      </c>
      <c r="BE24" s="62">
        <v>-109.6</v>
      </c>
      <c r="BF24" s="594">
        <v>-141.1</v>
      </c>
      <c r="BG24" s="62">
        <v>-32.9</v>
      </c>
      <c r="BH24" s="62"/>
      <c r="BI24" s="62"/>
      <c r="BJ24" s="594"/>
    </row>
    <row r="25" spans="1:62" ht="38.6">
      <c r="A25" s="64" t="s">
        <v>325</v>
      </c>
      <c r="B25" s="610" t="s">
        <v>326</v>
      </c>
      <c r="C25" s="63">
        <v>0</v>
      </c>
      <c r="D25" s="63">
        <v>0</v>
      </c>
      <c r="E25" s="63">
        <v>0</v>
      </c>
      <c r="F25" s="63">
        <v>0</v>
      </c>
      <c r="G25" s="614">
        <v>0</v>
      </c>
      <c r="H25" s="63">
        <v>0</v>
      </c>
      <c r="I25" s="63">
        <v>0</v>
      </c>
      <c r="J25" s="615">
        <v>0</v>
      </c>
      <c r="K25" s="63">
        <v>0</v>
      </c>
      <c r="L25" s="62">
        <v>82.1</v>
      </c>
      <c r="M25" s="62">
        <v>82.1</v>
      </c>
      <c r="N25" s="62">
        <v>82.1</v>
      </c>
      <c r="O25" s="593">
        <v>0</v>
      </c>
      <c r="P25" s="62">
        <v>0</v>
      </c>
      <c r="Q25" s="62">
        <v>-371.4</v>
      </c>
      <c r="R25" s="594">
        <v>-371.4</v>
      </c>
      <c r="S25" s="62">
        <v>0</v>
      </c>
      <c r="T25" s="62">
        <v>0</v>
      </c>
      <c r="U25" s="62">
        <v>0</v>
      </c>
      <c r="V25" s="62">
        <v>0</v>
      </c>
      <c r="W25" s="593">
        <v>0</v>
      </c>
      <c r="X25" s="62">
        <v>0</v>
      </c>
      <c r="Y25" s="62">
        <v>0</v>
      </c>
      <c r="Z25" s="594">
        <v>0</v>
      </c>
      <c r="AA25" s="62">
        <v>0</v>
      </c>
      <c r="AB25" s="62">
        <v>0</v>
      </c>
      <c r="AC25" s="62">
        <v>0</v>
      </c>
      <c r="AD25" s="62">
        <v>0</v>
      </c>
      <c r="AE25" s="593">
        <v>0</v>
      </c>
      <c r="AF25" s="62">
        <v>0</v>
      </c>
      <c r="AG25" s="62">
        <v>0</v>
      </c>
      <c r="AH25" s="594">
        <v>0</v>
      </c>
      <c r="AI25" s="62">
        <v>0</v>
      </c>
      <c r="AJ25" s="62">
        <v>0</v>
      </c>
      <c r="AK25" s="62">
        <v>0</v>
      </c>
      <c r="AL25" s="62">
        <v>0</v>
      </c>
      <c r="AM25" s="593">
        <v>0</v>
      </c>
      <c r="AN25" s="62">
        <v>0</v>
      </c>
      <c r="AO25" s="62">
        <v>0</v>
      </c>
      <c r="AP25" s="594">
        <v>0</v>
      </c>
      <c r="AQ25" s="62">
        <v>0</v>
      </c>
      <c r="AR25" s="62">
        <v>0</v>
      </c>
      <c r="AS25" s="62">
        <v>0</v>
      </c>
      <c r="AT25" s="594">
        <v>0</v>
      </c>
      <c r="AU25" s="62">
        <v>0</v>
      </c>
      <c r="AV25" s="62">
        <v>0</v>
      </c>
      <c r="AW25" s="62">
        <v>0</v>
      </c>
      <c r="AX25" s="594">
        <v>0</v>
      </c>
      <c r="AY25" s="62">
        <v>0</v>
      </c>
      <c r="AZ25" s="62"/>
      <c r="BA25" s="62"/>
      <c r="BB25" s="594"/>
      <c r="BC25" s="62">
        <v>0</v>
      </c>
      <c r="BD25" s="62">
        <v>0</v>
      </c>
      <c r="BE25" s="62">
        <v>0</v>
      </c>
      <c r="BF25" s="594">
        <v>0</v>
      </c>
      <c r="BG25" s="62">
        <v>0</v>
      </c>
      <c r="BH25" s="62"/>
      <c r="BI25" s="62"/>
      <c r="BJ25" s="594"/>
    </row>
    <row r="26" spans="1:62" ht="25.75">
      <c r="A26" s="64" t="s">
        <v>798</v>
      </c>
      <c r="B26" s="610" t="s">
        <v>805</v>
      </c>
      <c r="C26" s="63"/>
      <c r="D26" s="63"/>
      <c r="E26" s="63"/>
      <c r="F26" s="63"/>
      <c r="G26" s="614"/>
      <c r="H26" s="63"/>
      <c r="I26" s="63"/>
      <c r="J26" s="615"/>
      <c r="K26" s="63"/>
      <c r="L26" s="62"/>
      <c r="M26" s="62"/>
      <c r="N26" s="62"/>
      <c r="O26" s="593"/>
      <c r="P26" s="62"/>
      <c r="Q26" s="62"/>
      <c r="R26" s="594"/>
      <c r="S26" s="62"/>
      <c r="T26" s="62"/>
      <c r="U26" s="62"/>
      <c r="V26" s="62"/>
      <c r="W26" s="593"/>
      <c r="X26" s="62"/>
      <c r="Y26" s="62"/>
      <c r="Z26" s="594"/>
      <c r="AA26" s="62"/>
      <c r="AB26" s="62"/>
      <c r="AC26" s="62"/>
      <c r="AD26" s="62"/>
      <c r="AE26" s="593"/>
      <c r="AF26" s="62"/>
      <c r="AG26" s="62"/>
      <c r="AH26" s="594"/>
      <c r="AI26" s="62"/>
      <c r="AJ26" s="62"/>
      <c r="AK26" s="62"/>
      <c r="AL26" s="62"/>
      <c r="AM26" s="593"/>
      <c r="AN26" s="62"/>
      <c r="AO26" s="62"/>
      <c r="AP26" s="594"/>
      <c r="AQ26" s="62"/>
      <c r="AR26" s="62"/>
      <c r="AS26" s="62"/>
      <c r="AT26" s="594"/>
      <c r="AU26" s="62"/>
      <c r="AV26" s="62"/>
      <c r="AW26" s="62"/>
      <c r="AX26" s="594"/>
      <c r="AY26" s="62"/>
      <c r="AZ26" s="62"/>
      <c r="BA26" s="62"/>
      <c r="BB26" s="594"/>
      <c r="BC26" s="62"/>
      <c r="BD26" s="62"/>
      <c r="BE26" s="62"/>
      <c r="BF26" s="594"/>
      <c r="BG26" s="62">
        <v>1.2</v>
      </c>
      <c r="BH26" s="62"/>
      <c r="BI26" s="62"/>
      <c r="BJ26" s="594"/>
    </row>
    <row r="27" spans="1:62" ht="20.149999999999999" customHeight="1">
      <c r="A27" s="64" t="s">
        <v>327</v>
      </c>
      <c r="B27" s="610" t="s">
        <v>328</v>
      </c>
      <c r="C27" s="63"/>
      <c r="D27" s="63"/>
      <c r="E27" s="63"/>
      <c r="F27" s="63"/>
      <c r="G27" s="614"/>
      <c r="H27" s="63"/>
      <c r="I27" s="63"/>
      <c r="J27" s="615"/>
      <c r="K27" s="63"/>
      <c r="L27" s="62"/>
      <c r="M27" s="62"/>
      <c r="N27" s="62"/>
      <c r="O27" s="593"/>
      <c r="P27" s="62"/>
      <c r="Q27" s="62"/>
      <c r="R27" s="594"/>
      <c r="S27" s="62"/>
      <c r="T27" s="62"/>
      <c r="U27" s="62"/>
      <c r="V27" s="62">
        <v>0</v>
      </c>
      <c r="W27" s="593">
        <v>58.7</v>
      </c>
      <c r="X27" s="62">
        <v>58.7</v>
      </c>
      <c r="Y27" s="62">
        <v>58.7</v>
      </c>
      <c r="Z27" s="594">
        <v>58.7</v>
      </c>
      <c r="AA27" s="62">
        <v>0</v>
      </c>
      <c r="AB27" s="62">
        <v>0</v>
      </c>
      <c r="AC27" s="233">
        <v>0</v>
      </c>
      <c r="AD27" s="62">
        <v>0</v>
      </c>
      <c r="AE27" s="593">
        <v>0</v>
      </c>
      <c r="AF27" s="62">
        <v>0</v>
      </c>
      <c r="AG27" s="233">
        <v>0</v>
      </c>
      <c r="AH27" s="594">
        <v>0</v>
      </c>
      <c r="AI27" s="62">
        <v>0</v>
      </c>
      <c r="AJ27" s="62">
        <v>0</v>
      </c>
      <c r="AK27" s="233">
        <v>0</v>
      </c>
      <c r="AL27" s="62">
        <v>0</v>
      </c>
      <c r="AM27" s="593">
        <v>0</v>
      </c>
      <c r="AN27" s="62">
        <v>0</v>
      </c>
      <c r="AO27" s="233">
        <v>0</v>
      </c>
      <c r="AP27" s="594">
        <v>0</v>
      </c>
      <c r="AQ27" s="62">
        <v>0</v>
      </c>
      <c r="AR27" s="62">
        <v>0</v>
      </c>
      <c r="AS27" s="233">
        <v>0</v>
      </c>
      <c r="AT27" s="594">
        <v>0</v>
      </c>
      <c r="AU27" s="62">
        <v>0</v>
      </c>
      <c r="AV27" s="62">
        <v>0</v>
      </c>
      <c r="AW27" s="233">
        <v>0</v>
      </c>
      <c r="AX27" s="594">
        <v>0</v>
      </c>
      <c r="AY27" s="62">
        <v>9.6999999999999993</v>
      </c>
      <c r="AZ27" s="483">
        <v>9.6999999999999993</v>
      </c>
      <c r="BA27" s="483">
        <v>10.1</v>
      </c>
      <c r="BB27" s="594">
        <v>10.1</v>
      </c>
      <c r="BC27" s="62">
        <v>0.4</v>
      </c>
      <c r="BD27" s="483">
        <v>0.4</v>
      </c>
      <c r="BE27" s="483">
        <v>0.4</v>
      </c>
      <c r="BF27" s="594">
        <v>0.4</v>
      </c>
      <c r="BG27" s="62">
        <v>0</v>
      </c>
      <c r="BH27" s="483"/>
      <c r="BI27" s="483"/>
      <c r="BJ27" s="594"/>
    </row>
    <row r="28" spans="1:62" ht="25.75">
      <c r="A28" s="64" t="s">
        <v>329</v>
      </c>
      <c r="B28" s="610" t="s">
        <v>330</v>
      </c>
      <c r="C28" s="63"/>
      <c r="D28" s="63"/>
      <c r="E28" s="63"/>
      <c r="F28" s="63"/>
      <c r="G28" s="614"/>
      <c r="H28" s="63"/>
      <c r="I28" s="63"/>
      <c r="J28" s="615"/>
      <c r="K28" s="63"/>
      <c r="L28" s="62"/>
      <c r="M28" s="62"/>
      <c r="N28" s="62"/>
      <c r="O28" s="593"/>
      <c r="P28" s="62"/>
      <c r="Q28" s="62"/>
      <c r="R28" s="594"/>
      <c r="S28" s="62"/>
      <c r="T28" s="62"/>
      <c r="U28" s="62"/>
      <c r="V28" s="62"/>
      <c r="W28" s="593"/>
      <c r="X28" s="62"/>
      <c r="Y28" s="62"/>
      <c r="Z28" s="594"/>
      <c r="AA28" s="62"/>
      <c r="AB28" s="62"/>
      <c r="AC28" s="233"/>
      <c r="AD28" s="62"/>
      <c r="AE28" s="593"/>
      <c r="AF28" s="62"/>
      <c r="AG28" s="233"/>
      <c r="AH28" s="594"/>
      <c r="AI28" s="62"/>
      <c r="AJ28" s="62"/>
      <c r="AK28" s="233"/>
      <c r="AL28" s="62"/>
      <c r="AM28" s="593"/>
      <c r="AN28" s="62"/>
      <c r="AO28" s="233"/>
      <c r="AP28" s="594"/>
      <c r="AQ28" s="62"/>
      <c r="AR28" s="62"/>
      <c r="AS28" s="233"/>
      <c r="AT28" s="594"/>
      <c r="AU28" s="62"/>
      <c r="AV28" s="62"/>
      <c r="AW28" s="233"/>
      <c r="AX28" s="594"/>
      <c r="AY28" s="62">
        <v>-19.2</v>
      </c>
      <c r="AZ28" s="62">
        <v>-19.2</v>
      </c>
      <c r="BA28" s="62">
        <v>-20.8</v>
      </c>
      <c r="BB28" s="594">
        <v>-20.8</v>
      </c>
      <c r="BC28" s="62">
        <v>-2.5</v>
      </c>
      <c r="BD28" s="62">
        <v>-2.5</v>
      </c>
      <c r="BE28" s="62">
        <v>-2.5</v>
      </c>
      <c r="BF28" s="594">
        <v>-2.5</v>
      </c>
      <c r="BG28" s="62">
        <v>0</v>
      </c>
      <c r="BH28" s="62"/>
      <c r="BI28" s="62"/>
      <c r="BJ28" s="594"/>
    </row>
    <row r="29" spans="1:62" ht="20.149999999999999" customHeight="1">
      <c r="A29" s="64" t="s">
        <v>331</v>
      </c>
      <c r="B29" s="610" t="s">
        <v>332</v>
      </c>
      <c r="C29" s="63">
        <v>0</v>
      </c>
      <c r="D29" s="63">
        <v>0</v>
      </c>
      <c r="E29" s="63">
        <v>0</v>
      </c>
      <c r="F29" s="63">
        <v>0</v>
      </c>
      <c r="G29" s="614">
        <v>0</v>
      </c>
      <c r="H29" s="63">
        <v>0</v>
      </c>
      <c r="I29" s="63">
        <v>0</v>
      </c>
      <c r="J29" s="615">
        <v>0</v>
      </c>
      <c r="K29" s="63">
        <v>0</v>
      </c>
      <c r="L29" s="62">
        <v>16.5</v>
      </c>
      <c r="M29" s="62">
        <v>55.4</v>
      </c>
      <c r="N29" s="62">
        <v>84.3</v>
      </c>
      <c r="O29" s="593">
        <v>10.6</v>
      </c>
      <c r="P29" s="62">
        <v>33.9</v>
      </c>
      <c r="Q29" s="62">
        <v>37.6</v>
      </c>
      <c r="R29" s="594">
        <v>53</v>
      </c>
      <c r="S29" s="62">
        <v>-174.6</v>
      </c>
      <c r="T29" s="62">
        <v>-160.19999999999999</v>
      </c>
      <c r="U29" s="62">
        <v>-161.9</v>
      </c>
      <c r="V29" s="62">
        <v>-164.9</v>
      </c>
      <c r="W29" s="593">
        <v>-0.1</v>
      </c>
      <c r="X29" s="62">
        <v>0.9</v>
      </c>
      <c r="Y29" s="62">
        <v>-1.3</v>
      </c>
      <c r="Z29" s="594">
        <v>-1.5</v>
      </c>
      <c r="AA29" s="83" t="s">
        <v>250</v>
      </c>
      <c r="AB29" s="83" t="s">
        <v>250</v>
      </c>
      <c r="AC29" s="83" t="s">
        <v>250</v>
      </c>
      <c r="AD29" s="83" t="s">
        <v>250</v>
      </c>
      <c r="AE29" s="595" t="s">
        <v>250</v>
      </c>
      <c r="AF29" s="83" t="s">
        <v>250</v>
      </c>
      <c r="AG29" s="83" t="s">
        <v>250</v>
      </c>
      <c r="AH29" s="596" t="s">
        <v>250</v>
      </c>
      <c r="AI29" s="83" t="s">
        <v>250</v>
      </c>
      <c r="AJ29" s="83" t="s">
        <v>250</v>
      </c>
      <c r="AK29" s="83" t="s">
        <v>250</v>
      </c>
      <c r="AL29" s="83" t="s">
        <v>250</v>
      </c>
      <c r="AM29" s="595" t="s">
        <v>250</v>
      </c>
      <c r="AN29" s="83" t="s">
        <v>250</v>
      </c>
      <c r="AO29" s="83" t="s">
        <v>250</v>
      </c>
      <c r="AP29" s="596" t="s">
        <v>250</v>
      </c>
      <c r="AQ29" s="83" t="s">
        <v>250</v>
      </c>
      <c r="AR29" s="83" t="s">
        <v>250</v>
      </c>
      <c r="AS29" s="83" t="s">
        <v>250</v>
      </c>
      <c r="AT29" s="596" t="s">
        <v>250</v>
      </c>
      <c r="AU29" s="83" t="s">
        <v>250</v>
      </c>
      <c r="AV29" s="62">
        <v>-27.5</v>
      </c>
      <c r="AW29" s="83" t="s">
        <v>250</v>
      </c>
      <c r="AX29" s="596" t="s">
        <v>250</v>
      </c>
      <c r="AY29" s="83" t="s">
        <v>250</v>
      </c>
      <c r="AZ29" s="62">
        <v>-58.2</v>
      </c>
      <c r="BA29" s="62">
        <v>-38.4</v>
      </c>
      <c r="BB29" s="594">
        <v>6.7</v>
      </c>
      <c r="BC29" s="62">
        <v>0</v>
      </c>
      <c r="BD29" s="62">
        <v>-50.2</v>
      </c>
      <c r="BE29" s="62">
        <v>-18.8</v>
      </c>
      <c r="BF29" s="594">
        <v>-67.8</v>
      </c>
      <c r="BG29" s="62">
        <v>0</v>
      </c>
      <c r="BH29" s="62"/>
      <c r="BI29" s="62"/>
      <c r="BJ29" s="594"/>
    </row>
    <row r="30" spans="1:62" ht="25.75">
      <c r="A30" s="64" t="s">
        <v>333</v>
      </c>
      <c r="B30" s="610" t="s">
        <v>64</v>
      </c>
      <c r="C30" s="63"/>
      <c r="D30" s="63"/>
      <c r="E30" s="63"/>
      <c r="F30" s="63"/>
      <c r="G30" s="614"/>
      <c r="H30" s="63"/>
      <c r="I30" s="63"/>
      <c r="J30" s="615"/>
      <c r="K30" s="63"/>
      <c r="L30" s="62"/>
      <c r="M30" s="62"/>
      <c r="N30" s="62"/>
      <c r="O30" s="593"/>
      <c r="P30" s="62"/>
      <c r="Q30" s="62"/>
      <c r="R30" s="594"/>
      <c r="S30" s="62"/>
      <c r="T30" s="62"/>
      <c r="U30" s="62"/>
      <c r="V30" s="62"/>
      <c r="W30" s="593"/>
      <c r="X30" s="62"/>
      <c r="Y30" s="62"/>
      <c r="Z30" s="594"/>
      <c r="AA30" s="83"/>
      <c r="AB30" s="83"/>
      <c r="AC30" s="83"/>
      <c r="AD30" s="83"/>
      <c r="AE30" s="595"/>
      <c r="AF30" s="83"/>
      <c r="AG30" s="83"/>
      <c r="AH30" s="596"/>
      <c r="AI30" s="83"/>
      <c r="AJ30" s="83"/>
      <c r="AK30" s="83"/>
      <c r="AL30" s="83"/>
      <c r="AM30" s="595"/>
      <c r="AN30" s="83"/>
      <c r="AO30" s="83"/>
      <c r="AP30" s="596"/>
      <c r="AQ30" s="83"/>
      <c r="AR30" s="83"/>
      <c r="AS30" s="62">
        <v>-3690.8</v>
      </c>
      <c r="AT30" s="594">
        <v>-3680.6</v>
      </c>
      <c r="AU30" s="83">
        <v>0</v>
      </c>
      <c r="AV30" s="83">
        <v>0</v>
      </c>
      <c r="AW30" s="62">
        <v>-113.4</v>
      </c>
      <c r="AX30" s="594">
        <v>-153.19999999999999</v>
      </c>
      <c r="AY30" s="62">
        <v>0</v>
      </c>
      <c r="AZ30" s="83"/>
      <c r="BA30" s="62">
        <v>-220.1</v>
      </c>
      <c r="BB30" s="594">
        <v>-219.7</v>
      </c>
      <c r="BC30" s="62">
        <v>-10</v>
      </c>
      <c r="BD30" s="62">
        <v>-10</v>
      </c>
      <c r="BE30" s="62">
        <v>-10</v>
      </c>
      <c r="BF30" s="594">
        <v>-10</v>
      </c>
      <c r="BG30" s="62">
        <v>0.2</v>
      </c>
      <c r="BH30" s="62"/>
      <c r="BI30" s="62"/>
      <c r="BJ30" s="594"/>
    </row>
    <row r="31" spans="1:62" ht="25.75">
      <c r="A31" s="64" t="s">
        <v>334</v>
      </c>
      <c r="B31" s="610" t="s">
        <v>335</v>
      </c>
      <c r="C31" s="63"/>
      <c r="D31" s="63"/>
      <c r="E31" s="63"/>
      <c r="F31" s="63"/>
      <c r="G31" s="614"/>
      <c r="H31" s="63"/>
      <c r="I31" s="63"/>
      <c r="J31" s="615"/>
      <c r="K31" s="63"/>
      <c r="L31" s="62"/>
      <c r="M31" s="62"/>
      <c r="N31" s="62"/>
      <c r="O31" s="593"/>
      <c r="P31" s="62"/>
      <c r="Q31" s="62"/>
      <c r="R31" s="594"/>
      <c r="S31" s="62"/>
      <c r="T31" s="62"/>
      <c r="U31" s="62"/>
      <c r="V31" s="62"/>
      <c r="W31" s="593"/>
      <c r="X31" s="62"/>
      <c r="Y31" s="62"/>
      <c r="Z31" s="594"/>
      <c r="AA31" s="83"/>
      <c r="AB31" s="83"/>
      <c r="AC31" s="83"/>
      <c r="AD31" s="83"/>
      <c r="AE31" s="595"/>
      <c r="AF31" s="83"/>
      <c r="AG31" s="83"/>
      <c r="AH31" s="596"/>
      <c r="AI31" s="83"/>
      <c r="AJ31" s="83"/>
      <c r="AK31" s="83"/>
      <c r="AL31" s="83"/>
      <c r="AM31" s="595">
        <v>0</v>
      </c>
      <c r="AN31" s="62">
        <v>-44.8</v>
      </c>
      <c r="AO31" s="62">
        <v>-44.8</v>
      </c>
      <c r="AP31" s="597">
        <v>-44.8</v>
      </c>
      <c r="AQ31" s="83">
        <v>0</v>
      </c>
      <c r="AR31" s="62">
        <v>0</v>
      </c>
      <c r="AS31" s="62">
        <v>0</v>
      </c>
      <c r="AT31" s="597">
        <v>0</v>
      </c>
      <c r="AU31" s="83">
        <v>0</v>
      </c>
      <c r="AV31" s="62">
        <v>0</v>
      </c>
      <c r="AW31" s="62">
        <v>0</v>
      </c>
      <c r="AX31" s="597">
        <v>0</v>
      </c>
      <c r="AY31" s="83">
        <v>0</v>
      </c>
      <c r="AZ31" s="62"/>
      <c r="BA31" s="62"/>
      <c r="BB31" s="597"/>
      <c r="BC31" s="62">
        <v>0</v>
      </c>
      <c r="BD31" s="62">
        <v>0</v>
      </c>
      <c r="BE31" s="62">
        <v>0</v>
      </c>
      <c r="BF31" s="597">
        <v>0</v>
      </c>
      <c r="BG31" s="62">
        <v>0</v>
      </c>
      <c r="BH31" s="62"/>
      <c r="BI31" s="62"/>
      <c r="BJ31" s="597"/>
    </row>
    <row r="32" spans="1:62" ht="14.15">
      <c r="A32" s="64" t="s">
        <v>336</v>
      </c>
      <c r="B32" s="610" t="s">
        <v>337</v>
      </c>
      <c r="C32" s="63"/>
      <c r="D32" s="63"/>
      <c r="E32" s="63"/>
      <c r="F32" s="63"/>
      <c r="G32" s="614"/>
      <c r="H32" s="63"/>
      <c r="I32" s="63"/>
      <c r="J32" s="615"/>
      <c r="K32" s="63"/>
      <c r="L32" s="62"/>
      <c r="M32" s="62"/>
      <c r="N32" s="62"/>
      <c r="O32" s="593"/>
      <c r="P32" s="62"/>
      <c r="Q32" s="62"/>
      <c r="R32" s="594"/>
      <c r="S32" s="62"/>
      <c r="T32" s="62"/>
      <c r="U32" s="62"/>
      <c r="V32" s="62"/>
      <c r="W32" s="593"/>
      <c r="X32" s="62"/>
      <c r="Y32" s="62"/>
      <c r="Z32" s="594"/>
      <c r="AA32" s="83"/>
      <c r="AB32" s="83"/>
      <c r="AC32" s="83"/>
      <c r="AD32" s="83"/>
      <c r="AE32" s="595"/>
      <c r="AF32" s="83"/>
      <c r="AG32" s="83"/>
      <c r="AH32" s="596"/>
      <c r="AI32" s="83"/>
      <c r="AJ32" s="83"/>
      <c r="AK32" s="83"/>
      <c r="AL32" s="83"/>
      <c r="AM32" s="595"/>
      <c r="AN32" s="62"/>
      <c r="AO32" s="62"/>
      <c r="AP32" s="597"/>
      <c r="AQ32" s="83"/>
      <c r="AR32" s="62"/>
      <c r="AS32" s="62"/>
      <c r="AT32" s="597"/>
      <c r="AU32" s="83"/>
      <c r="AV32" s="62"/>
      <c r="AW32" s="62"/>
      <c r="AX32" s="597"/>
      <c r="AY32" s="83"/>
      <c r="AZ32" s="62">
        <v>20.8</v>
      </c>
      <c r="BA32" s="62">
        <v>20.8</v>
      </c>
      <c r="BB32" s="594">
        <v>20.8</v>
      </c>
      <c r="BC32" s="62">
        <v>0</v>
      </c>
      <c r="BD32" s="62">
        <v>0</v>
      </c>
      <c r="BE32" s="62">
        <v>0</v>
      </c>
      <c r="BF32" s="594">
        <v>0</v>
      </c>
      <c r="BG32" s="62">
        <v>0</v>
      </c>
      <c r="BH32" s="62"/>
      <c r="BI32" s="62"/>
      <c r="BJ32" s="594"/>
    </row>
    <row r="33" spans="1:65" ht="14.15">
      <c r="A33" s="64" t="s">
        <v>338</v>
      </c>
      <c r="B33" s="610" t="s">
        <v>339</v>
      </c>
      <c r="C33" s="63"/>
      <c r="D33" s="63"/>
      <c r="E33" s="63"/>
      <c r="F33" s="63"/>
      <c r="G33" s="614"/>
      <c r="H33" s="63"/>
      <c r="I33" s="63"/>
      <c r="J33" s="615"/>
      <c r="K33" s="63"/>
      <c r="L33" s="62"/>
      <c r="M33" s="62"/>
      <c r="N33" s="62"/>
      <c r="O33" s="593"/>
      <c r="P33" s="62"/>
      <c r="Q33" s="62"/>
      <c r="R33" s="594"/>
      <c r="S33" s="62"/>
      <c r="T33" s="62"/>
      <c r="U33" s="62"/>
      <c r="V33" s="62"/>
      <c r="W33" s="593"/>
      <c r="X33" s="62"/>
      <c r="Y33" s="62"/>
      <c r="Z33" s="594"/>
      <c r="AA33" s="83"/>
      <c r="AB33" s="83"/>
      <c r="AC33" s="83"/>
      <c r="AD33" s="83"/>
      <c r="AE33" s="595"/>
      <c r="AF33" s="83"/>
      <c r="AG33" s="83"/>
      <c r="AH33" s="596"/>
      <c r="AI33" s="83"/>
      <c r="AJ33" s="83"/>
      <c r="AK33" s="83"/>
      <c r="AL33" s="83"/>
      <c r="AM33" s="595"/>
      <c r="AN33" s="62"/>
      <c r="AO33" s="62"/>
      <c r="AP33" s="597"/>
      <c r="AQ33" s="83"/>
      <c r="AR33" s="62"/>
      <c r="AS33" s="62"/>
      <c r="AT33" s="597"/>
      <c r="AU33" s="83"/>
      <c r="AV33" s="62"/>
      <c r="AW33" s="62"/>
      <c r="AX33" s="597"/>
      <c r="AY33" s="83"/>
      <c r="AZ33" s="62"/>
      <c r="BA33" s="62"/>
      <c r="BB33" s="594">
        <v>-0.8</v>
      </c>
      <c r="BC33" s="62">
        <v>0</v>
      </c>
      <c r="BD33" s="62">
        <v>-30.8</v>
      </c>
      <c r="BE33" s="62">
        <v>-30.8</v>
      </c>
      <c r="BF33" s="594">
        <v>-30.8</v>
      </c>
      <c r="BG33" s="62"/>
      <c r="BH33" s="62"/>
      <c r="BI33" s="62"/>
      <c r="BJ33" s="594"/>
    </row>
    <row r="34" spans="1:65" ht="14.15">
      <c r="A34" s="64" t="s">
        <v>799</v>
      </c>
      <c r="B34" s="610" t="s">
        <v>804</v>
      </c>
      <c r="C34" s="63"/>
      <c r="D34" s="63"/>
      <c r="E34" s="63"/>
      <c r="F34" s="63"/>
      <c r="G34" s="614"/>
      <c r="H34" s="63"/>
      <c r="I34" s="63"/>
      <c r="J34" s="615"/>
      <c r="K34" s="63"/>
      <c r="L34" s="62"/>
      <c r="M34" s="62"/>
      <c r="N34" s="62"/>
      <c r="O34" s="593"/>
      <c r="P34" s="62"/>
      <c r="Q34" s="62"/>
      <c r="R34" s="594"/>
      <c r="S34" s="62"/>
      <c r="T34" s="62"/>
      <c r="U34" s="62"/>
      <c r="V34" s="62"/>
      <c r="W34" s="593"/>
      <c r="X34" s="62"/>
      <c r="Y34" s="62"/>
      <c r="Z34" s="594"/>
      <c r="AA34" s="83"/>
      <c r="AB34" s="83"/>
      <c r="AC34" s="83"/>
      <c r="AD34" s="83"/>
      <c r="AE34" s="595"/>
      <c r="AF34" s="83"/>
      <c r="AG34" s="83"/>
      <c r="AH34" s="596"/>
      <c r="AI34" s="83"/>
      <c r="AJ34" s="83"/>
      <c r="AK34" s="83"/>
      <c r="AL34" s="83"/>
      <c r="AM34" s="595"/>
      <c r="AN34" s="62"/>
      <c r="AO34" s="62"/>
      <c r="AP34" s="597"/>
      <c r="AQ34" s="83"/>
      <c r="AR34" s="62"/>
      <c r="AS34" s="62"/>
      <c r="AT34" s="597"/>
      <c r="AU34" s="83"/>
      <c r="AV34" s="62"/>
      <c r="AW34" s="62"/>
      <c r="AX34" s="597"/>
      <c r="AY34" s="83"/>
      <c r="AZ34" s="62"/>
      <c r="BA34" s="62"/>
      <c r="BB34" s="594"/>
      <c r="BC34" s="62"/>
      <c r="BD34" s="62"/>
      <c r="BE34" s="62"/>
      <c r="BF34" s="594"/>
      <c r="BG34" s="62">
        <v>90.6</v>
      </c>
      <c r="BH34" s="62"/>
      <c r="BI34" s="62"/>
      <c r="BJ34" s="594"/>
    </row>
    <row r="35" spans="1:65" ht="14.15">
      <c r="A35" s="64" t="s">
        <v>340</v>
      </c>
      <c r="B35" s="610" t="s">
        <v>341</v>
      </c>
      <c r="C35" s="63"/>
      <c r="D35" s="63"/>
      <c r="E35" s="63"/>
      <c r="F35" s="63"/>
      <c r="G35" s="614"/>
      <c r="H35" s="63"/>
      <c r="I35" s="63"/>
      <c r="J35" s="615"/>
      <c r="K35" s="63"/>
      <c r="L35" s="62"/>
      <c r="M35" s="62"/>
      <c r="N35" s="62"/>
      <c r="O35" s="593"/>
      <c r="P35" s="62"/>
      <c r="Q35" s="62"/>
      <c r="R35" s="594"/>
      <c r="S35" s="62"/>
      <c r="T35" s="62"/>
      <c r="U35" s="62"/>
      <c r="V35" s="62"/>
      <c r="W35" s="593"/>
      <c r="X35" s="62"/>
      <c r="Y35" s="62"/>
      <c r="Z35" s="594"/>
      <c r="AA35" s="83"/>
      <c r="AB35" s="83"/>
      <c r="AC35" s="83"/>
      <c r="AD35" s="83"/>
      <c r="AE35" s="595"/>
      <c r="AF35" s="83"/>
      <c r="AG35" s="83"/>
      <c r="AH35" s="596"/>
      <c r="AI35" s="83"/>
      <c r="AJ35" s="83"/>
      <c r="AK35" s="83"/>
      <c r="AL35" s="83"/>
      <c r="AM35" s="595"/>
      <c r="AN35" s="62"/>
      <c r="AO35" s="62"/>
      <c r="AP35" s="597"/>
      <c r="AQ35" s="83"/>
      <c r="AR35" s="62"/>
      <c r="AS35" s="62"/>
      <c r="AT35" s="597"/>
      <c r="AU35" s="83"/>
      <c r="AV35" s="62"/>
      <c r="AW35" s="62"/>
      <c r="AX35" s="597"/>
      <c r="AY35" s="83"/>
      <c r="AZ35" s="62"/>
      <c r="BA35" s="62"/>
      <c r="BB35" s="594"/>
      <c r="BC35" s="62">
        <v>0</v>
      </c>
      <c r="BD35" s="62">
        <v>-58.4</v>
      </c>
      <c r="BE35" s="62">
        <v>-116</v>
      </c>
      <c r="BF35" s="594">
        <v>-194.2</v>
      </c>
      <c r="BG35" s="62">
        <v>0</v>
      </c>
      <c r="BH35" s="62"/>
      <c r="BI35" s="62"/>
      <c r="BJ35" s="594"/>
    </row>
    <row r="36" spans="1:65" ht="14.15">
      <c r="A36" s="64" t="s">
        <v>342</v>
      </c>
      <c r="B36" s="610" t="s">
        <v>343</v>
      </c>
      <c r="C36" s="63"/>
      <c r="D36" s="63"/>
      <c r="E36" s="63"/>
      <c r="F36" s="63"/>
      <c r="G36" s="614"/>
      <c r="H36" s="63"/>
      <c r="I36" s="63"/>
      <c r="J36" s="615"/>
      <c r="K36" s="63"/>
      <c r="L36" s="62"/>
      <c r="M36" s="62"/>
      <c r="N36" s="62"/>
      <c r="O36" s="593"/>
      <c r="P36" s="62"/>
      <c r="Q36" s="62"/>
      <c r="R36" s="594"/>
      <c r="S36" s="62"/>
      <c r="T36" s="62"/>
      <c r="U36" s="62"/>
      <c r="V36" s="62"/>
      <c r="W36" s="593"/>
      <c r="X36" s="62"/>
      <c r="Y36" s="62"/>
      <c r="Z36" s="594"/>
      <c r="AA36" s="83"/>
      <c r="AB36" s="83"/>
      <c r="AC36" s="83"/>
      <c r="AD36" s="83"/>
      <c r="AE36" s="595"/>
      <c r="AF36" s="83"/>
      <c r="AG36" s="83"/>
      <c r="AH36" s="596"/>
      <c r="AI36" s="83"/>
      <c r="AJ36" s="83"/>
      <c r="AK36" s="83"/>
      <c r="AL36" s="83"/>
      <c r="AM36" s="595"/>
      <c r="AN36" s="62"/>
      <c r="AO36" s="62"/>
      <c r="AP36" s="597"/>
      <c r="AQ36" s="83"/>
      <c r="AR36" s="62"/>
      <c r="AS36" s="62"/>
      <c r="AT36" s="597"/>
      <c r="AU36" s="83"/>
      <c r="AV36" s="62"/>
      <c r="AW36" s="62"/>
      <c r="AX36" s="597"/>
      <c r="AY36" s="83"/>
      <c r="AZ36" s="62"/>
      <c r="BA36" s="62"/>
      <c r="BB36" s="594"/>
      <c r="BC36" s="62">
        <v>0</v>
      </c>
      <c r="BD36" s="62">
        <v>-185.1</v>
      </c>
      <c r="BE36" s="62">
        <v>-198.7</v>
      </c>
      <c r="BF36" s="594">
        <v>-198.7</v>
      </c>
      <c r="BG36" s="62">
        <v>0</v>
      </c>
      <c r="BH36" s="62"/>
      <c r="BI36" s="62"/>
      <c r="BJ36" s="594"/>
    </row>
    <row r="37" spans="1:65" ht="20.149999999999999" customHeight="1" thickBot="1">
      <c r="A37" s="64" t="s">
        <v>344</v>
      </c>
      <c r="B37" s="610" t="s">
        <v>345</v>
      </c>
      <c r="C37" s="62">
        <v>0.245</v>
      </c>
      <c r="D37" s="62">
        <v>0.78500000000000003</v>
      </c>
      <c r="E37" s="62">
        <v>1.31</v>
      </c>
      <c r="F37" s="62">
        <v>3.5380000000000003</v>
      </c>
      <c r="G37" s="593">
        <v>1.484</v>
      </c>
      <c r="H37" s="62">
        <f>4.197+4.842</f>
        <v>9.0389999999999997</v>
      </c>
      <c r="I37" s="62">
        <f>5.852+4.842</f>
        <v>10.693999999999999</v>
      </c>
      <c r="J37" s="594">
        <v>11.93</v>
      </c>
      <c r="K37" s="62">
        <v>1.7790000000000001</v>
      </c>
      <c r="L37" s="62">
        <v>10.8</v>
      </c>
      <c r="M37" s="62">
        <v>11.7</v>
      </c>
      <c r="N37" s="62">
        <v>96.1</v>
      </c>
      <c r="O37" s="593">
        <v>-3</v>
      </c>
      <c r="P37" s="62">
        <v>9</v>
      </c>
      <c r="Q37" s="62">
        <v>19.600000000000001</v>
      </c>
      <c r="R37" s="594">
        <v>21.6</v>
      </c>
      <c r="S37" s="62">
        <v>2.5</v>
      </c>
      <c r="T37" s="62">
        <v>-1.9</v>
      </c>
      <c r="U37" s="62">
        <v>22.5</v>
      </c>
      <c r="V37" s="62">
        <v>24</v>
      </c>
      <c r="W37" s="593">
        <v>-2.1</v>
      </c>
      <c r="X37" s="62">
        <v>18.100000000000001</v>
      </c>
      <c r="Y37" s="62">
        <v>51.1</v>
      </c>
      <c r="Z37" s="594">
        <v>55.5</v>
      </c>
      <c r="AA37" s="62">
        <v>-18.2</v>
      </c>
      <c r="AB37" s="62">
        <v>2.5</v>
      </c>
      <c r="AC37" s="62">
        <v>18.2</v>
      </c>
      <c r="AD37" s="62">
        <v>-97.8</v>
      </c>
      <c r="AE37" s="593">
        <v>1.1000000000000001</v>
      </c>
      <c r="AF37" s="62">
        <v>-6.3</v>
      </c>
      <c r="AG37" s="62">
        <v>64.8</v>
      </c>
      <c r="AH37" s="594">
        <v>68.400000000000006</v>
      </c>
      <c r="AI37" s="62">
        <v>1.1000000000000001</v>
      </c>
      <c r="AJ37" s="62">
        <v>-6.3</v>
      </c>
      <c r="AK37" s="62">
        <v>64.8</v>
      </c>
      <c r="AL37" s="62">
        <v>68.400000000000006</v>
      </c>
      <c r="AM37" s="593">
        <v>-5.4</v>
      </c>
      <c r="AN37" s="62">
        <v>-3.3</v>
      </c>
      <c r="AO37" s="62">
        <v>14.4</v>
      </c>
      <c r="AP37" s="594">
        <v>31</v>
      </c>
      <c r="AQ37" s="62">
        <v>13.1</v>
      </c>
      <c r="AR37" s="62">
        <v>29.8</v>
      </c>
      <c r="AS37" s="62">
        <v>28.8</v>
      </c>
      <c r="AT37" s="594">
        <v>62.1</v>
      </c>
      <c r="AU37" s="62">
        <v>14.1</v>
      </c>
      <c r="AV37" s="62">
        <v>18.399999999999999</v>
      </c>
      <c r="AW37" s="62">
        <v>-13.7</v>
      </c>
      <c r="AX37" s="601">
        <v>-66.7</v>
      </c>
      <c r="AY37" s="62">
        <v>-37.4</v>
      </c>
      <c r="AZ37" s="62">
        <v>-0.4</v>
      </c>
      <c r="BA37" s="62">
        <v>17.7</v>
      </c>
      <c r="BB37" s="594">
        <v>-95.5</v>
      </c>
      <c r="BC37" s="62">
        <v>-60.5</v>
      </c>
      <c r="BD37" s="62">
        <v>-25.4</v>
      </c>
      <c r="BE37" s="62">
        <v>-27.3</v>
      </c>
      <c r="BF37" s="594">
        <v>103.4</v>
      </c>
      <c r="BG37" s="62">
        <v>1.2</v>
      </c>
      <c r="BH37" s="62"/>
      <c r="BI37" s="62"/>
      <c r="BJ37" s="594"/>
    </row>
    <row r="38" spans="1:65" ht="20.149999999999999" customHeight="1" thickBot="1">
      <c r="A38" s="361" t="s">
        <v>346</v>
      </c>
      <c r="B38" s="609" t="s">
        <v>347</v>
      </c>
      <c r="C38" s="362">
        <f t="shared" ref="C38:AB38" si="2">C5+C6</f>
        <v>232.697</v>
      </c>
      <c r="D38" s="362">
        <f t="shared" si="2"/>
        <v>415.61099999999999</v>
      </c>
      <c r="E38" s="362">
        <f t="shared" si="2"/>
        <v>628.7700000000001</v>
      </c>
      <c r="F38" s="363">
        <f t="shared" si="2"/>
        <v>843.21800000000007</v>
      </c>
      <c r="G38" s="591">
        <f t="shared" si="2"/>
        <v>165.66199999999998</v>
      </c>
      <c r="H38" s="363">
        <f t="shared" si="2"/>
        <v>351.928</v>
      </c>
      <c r="I38" s="363">
        <f t="shared" si="2"/>
        <v>548.24399999999991</v>
      </c>
      <c r="J38" s="592">
        <f t="shared" si="2"/>
        <v>859.7349999999999</v>
      </c>
      <c r="K38" s="363">
        <f t="shared" si="2"/>
        <v>184.70400000000001</v>
      </c>
      <c r="L38" s="363">
        <f t="shared" si="2"/>
        <v>735.69999999999982</v>
      </c>
      <c r="M38" s="363">
        <f t="shared" si="2"/>
        <v>1423.9000000000003</v>
      </c>
      <c r="N38" s="363">
        <f t="shared" si="2"/>
        <v>2117.7999999999997</v>
      </c>
      <c r="O38" s="591">
        <f t="shared" si="2"/>
        <v>453.00000000000011</v>
      </c>
      <c r="P38" s="363">
        <f t="shared" si="2"/>
        <v>1327.9999999999995</v>
      </c>
      <c r="Q38" s="363">
        <f t="shared" si="2"/>
        <v>2173.4999999999991</v>
      </c>
      <c r="R38" s="592">
        <f t="shared" si="2"/>
        <v>2985.0999999999995</v>
      </c>
      <c r="S38" s="363">
        <f t="shared" si="2"/>
        <v>584.40000000000009</v>
      </c>
      <c r="T38" s="363">
        <f t="shared" si="2"/>
        <v>1549.4</v>
      </c>
      <c r="U38" s="363">
        <f t="shared" si="2"/>
        <v>2357.5000000000009</v>
      </c>
      <c r="V38" s="363">
        <f t="shared" si="2"/>
        <v>3151.5</v>
      </c>
      <c r="W38" s="591">
        <f t="shared" si="2"/>
        <v>780.70000000000027</v>
      </c>
      <c r="X38" s="363">
        <f t="shared" si="2"/>
        <v>1615.9</v>
      </c>
      <c r="Y38" s="363">
        <f t="shared" si="2"/>
        <v>2245.6999999999998</v>
      </c>
      <c r="Z38" s="592">
        <f t="shared" si="2"/>
        <v>3126.3</v>
      </c>
      <c r="AA38" s="363">
        <f t="shared" si="2"/>
        <v>633.10000000000014</v>
      </c>
      <c r="AB38" s="363">
        <f t="shared" si="2"/>
        <v>1396.9</v>
      </c>
      <c r="AC38" s="363">
        <v>2220.8000000000002</v>
      </c>
      <c r="AD38" s="363">
        <f t="shared" ref="AD38:BG38" si="3">AD5+AD6</f>
        <v>3232.1</v>
      </c>
      <c r="AE38" s="591">
        <f t="shared" si="3"/>
        <v>703.2</v>
      </c>
      <c r="AF38" s="363">
        <f t="shared" si="3"/>
        <v>1554.3000000000002</v>
      </c>
      <c r="AG38" s="363">
        <f t="shared" si="3"/>
        <v>2406.8000000000002</v>
      </c>
      <c r="AH38" s="592">
        <f t="shared" si="3"/>
        <v>3391.8</v>
      </c>
      <c r="AI38" s="363">
        <f t="shared" si="3"/>
        <v>762.2</v>
      </c>
      <c r="AJ38" s="363">
        <f t="shared" si="3"/>
        <v>1709.3000000000002</v>
      </c>
      <c r="AK38" s="363">
        <f t="shared" si="3"/>
        <v>2659.9000000000005</v>
      </c>
      <c r="AL38" s="363">
        <f t="shared" si="3"/>
        <v>3777.8999999999996</v>
      </c>
      <c r="AM38" s="591">
        <f t="shared" si="3"/>
        <v>860.98882651999998</v>
      </c>
      <c r="AN38" s="363">
        <f t="shared" si="3"/>
        <v>1706.8000000000004</v>
      </c>
      <c r="AO38" s="363">
        <f t="shared" si="3"/>
        <v>2655.2999999999997</v>
      </c>
      <c r="AP38" s="592">
        <f t="shared" si="3"/>
        <v>3797.8999999999996</v>
      </c>
      <c r="AQ38" s="363">
        <f t="shared" si="3"/>
        <v>994.30000000000007</v>
      </c>
      <c r="AR38" s="363">
        <f t="shared" si="3"/>
        <v>1885.8999999999999</v>
      </c>
      <c r="AS38" s="363">
        <f t="shared" si="3"/>
        <v>2795.8000000000011</v>
      </c>
      <c r="AT38" s="592">
        <f t="shared" si="3"/>
        <v>3689.699999999998</v>
      </c>
      <c r="AU38" s="363">
        <f t="shared" si="3"/>
        <v>666.80000000000007</v>
      </c>
      <c r="AV38" s="663">
        <f t="shared" si="3"/>
        <v>1493.2999999999997</v>
      </c>
      <c r="AW38" s="363">
        <f t="shared" si="3"/>
        <v>2219.4000000000005</v>
      </c>
      <c r="AX38" s="693">
        <f t="shared" si="3"/>
        <v>2973.5</v>
      </c>
      <c r="AY38" s="363">
        <f t="shared" si="3"/>
        <v>355.70000000000067</v>
      </c>
      <c r="AZ38" s="363">
        <f t="shared" si="3"/>
        <v>1390.8999999999992</v>
      </c>
      <c r="BA38" s="363">
        <f t="shared" si="3"/>
        <v>1665.0999999999995</v>
      </c>
      <c r="BB38" s="693">
        <f t="shared" si="3"/>
        <v>2628.1999999999994</v>
      </c>
      <c r="BC38" s="363">
        <f t="shared" si="3"/>
        <v>800.5</v>
      </c>
      <c r="BD38" s="363">
        <f t="shared" si="3"/>
        <v>1518.6000000000001</v>
      </c>
      <c r="BE38" s="363">
        <f t="shared" si="3"/>
        <v>2600.6999999999994</v>
      </c>
      <c r="BF38" s="693">
        <f t="shared" si="3"/>
        <v>3560.5600000000004</v>
      </c>
      <c r="BG38" s="363">
        <f t="shared" si="3"/>
        <v>749.40000000000009</v>
      </c>
      <c r="BH38" s="363"/>
      <c r="BI38" s="363"/>
      <c r="BJ38" s="693"/>
    </row>
    <row r="39" spans="1:65" ht="20.149999999999999" customHeight="1">
      <c r="A39" s="64" t="s">
        <v>348</v>
      </c>
      <c r="B39" s="610" t="s">
        <v>349</v>
      </c>
      <c r="C39" s="62">
        <v>-12.561</v>
      </c>
      <c r="D39" s="62">
        <v>-47.188000000000002</v>
      </c>
      <c r="E39" s="62">
        <v>-59.765999999999998</v>
      </c>
      <c r="F39" s="62">
        <v>-78.733000000000004</v>
      </c>
      <c r="G39" s="593">
        <v>-13.763</v>
      </c>
      <c r="H39" s="62">
        <v>-26.318999999999999</v>
      </c>
      <c r="I39" s="62">
        <v>-37.451999999999998</v>
      </c>
      <c r="J39" s="594">
        <v>-67.486000000000004</v>
      </c>
      <c r="K39" s="62">
        <v>-17.809000000000001</v>
      </c>
      <c r="L39" s="62">
        <v>-99.5</v>
      </c>
      <c r="M39" s="62">
        <v>-135.19999999999999</v>
      </c>
      <c r="N39" s="62">
        <v>-189.1</v>
      </c>
      <c r="O39" s="593">
        <v>-48.5</v>
      </c>
      <c r="P39" s="62">
        <v>-44.2</v>
      </c>
      <c r="Q39" s="62">
        <v>-94.2</v>
      </c>
      <c r="R39" s="594">
        <v>-136.19999999999999</v>
      </c>
      <c r="S39" s="62">
        <v>-145.69999999999999</v>
      </c>
      <c r="T39" s="62">
        <v>-186.5</v>
      </c>
      <c r="U39" s="62">
        <v>-236.1</v>
      </c>
      <c r="V39" s="62">
        <v>-292.7</v>
      </c>
      <c r="W39" s="593">
        <v>-43.5</v>
      </c>
      <c r="X39" s="62">
        <v>-112.5</v>
      </c>
      <c r="Y39" s="62">
        <v>-181.5</v>
      </c>
      <c r="Z39" s="594">
        <v>-216.2</v>
      </c>
      <c r="AA39" s="62">
        <v>-70.599999999999994</v>
      </c>
      <c r="AB39" s="62">
        <v>-191.3</v>
      </c>
      <c r="AC39" s="62">
        <v>-265.10000000000002</v>
      </c>
      <c r="AD39" s="62">
        <v>-343.2</v>
      </c>
      <c r="AE39" s="593">
        <v>-66.099999999999994</v>
      </c>
      <c r="AF39" s="62">
        <v>-163</v>
      </c>
      <c r="AG39" s="62">
        <v>-252.5</v>
      </c>
      <c r="AH39" s="594">
        <v>-328.5</v>
      </c>
      <c r="AI39" s="62">
        <v>-66.099999999999994</v>
      </c>
      <c r="AJ39" s="62">
        <v>-163</v>
      </c>
      <c r="AK39" s="62">
        <v>-252.5</v>
      </c>
      <c r="AL39" s="62">
        <v>-328.5</v>
      </c>
      <c r="AM39" s="593">
        <v>-87.1</v>
      </c>
      <c r="AN39" s="62">
        <v>-360.4</v>
      </c>
      <c r="AO39" s="62">
        <v>-438.9</v>
      </c>
      <c r="AP39" s="594">
        <v>-552.9</v>
      </c>
      <c r="AQ39" s="62">
        <v>-106</v>
      </c>
      <c r="AR39" s="62">
        <v>-269.89999999999998</v>
      </c>
      <c r="AS39" s="62">
        <v>-356.9</v>
      </c>
      <c r="AT39" s="594">
        <v>-463</v>
      </c>
      <c r="AU39" s="62">
        <v>-98.9</v>
      </c>
      <c r="AV39" s="62">
        <v>-1079.9000000000001</v>
      </c>
      <c r="AW39" s="62">
        <v>-1175.8</v>
      </c>
      <c r="AX39" s="594">
        <v>-1278.4000000000001</v>
      </c>
      <c r="AY39" s="62">
        <v>-80.5</v>
      </c>
      <c r="AZ39" s="62">
        <v>-197.3</v>
      </c>
      <c r="BA39" s="62">
        <v>-266.5</v>
      </c>
      <c r="BB39" s="594">
        <v>-342.1</v>
      </c>
      <c r="BC39" s="62">
        <v>-67.8</v>
      </c>
      <c r="BD39" s="62">
        <v>-124</v>
      </c>
      <c r="BE39" s="62">
        <v>-177.9</v>
      </c>
      <c r="BF39" s="594">
        <v>-271.8</v>
      </c>
      <c r="BG39" s="62">
        <v>-97.5</v>
      </c>
      <c r="BH39" s="62"/>
      <c r="BI39" s="62"/>
      <c r="BJ39" s="594"/>
    </row>
    <row r="40" spans="1:65" ht="20.149999999999999" customHeight="1">
      <c r="A40" s="64" t="s">
        <v>350</v>
      </c>
      <c r="B40" s="610" t="s">
        <v>351</v>
      </c>
      <c r="C40" s="62">
        <v>3.843</v>
      </c>
      <c r="D40" s="62">
        <v>8.1440000000000001</v>
      </c>
      <c r="E40" s="62">
        <v>12.96</v>
      </c>
      <c r="F40" s="62">
        <v>16.882000000000001</v>
      </c>
      <c r="G40" s="593">
        <v>3.544</v>
      </c>
      <c r="H40" s="62">
        <v>6.1040000000000001</v>
      </c>
      <c r="I40" s="62">
        <v>8.5630000000000006</v>
      </c>
      <c r="J40" s="594">
        <v>10.41</v>
      </c>
      <c r="K40" s="62">
        <v>2.165</v>
      </c>
      <c r="L40" s="62">
        <v>13.4</v>
      </c>
      <c r="M40" s="62">
        <v>33.1</v>
      </c>
      <c r="N40" s="62">
        <v>45.2</v>
      </c>
      <c r="O40" s="593">
        <v>13.2</v>
      </c>
      <c r="P40" s="62">
        <v>20.5</v>
      </c>
      <c r="Q40" s="62">
        <v>30.5</v>
      </c>
      <c r="R40" s="594">
        <v>38.799999999999997</v>
      </c>
      <c r="S40" s="62">
        <v>8.1</v>
      </c>
      <c r="T40" s="62">
        <v>13.1</v>
      </c>
      <c r="U40" s="62">
        <v>19.5</v>
      </c>
      <c r="V40" s="62">
        <v>25.9</v>
      </c>
      <c r="W40" s="593">
        <v>14.5</v>
      </c>
      <c r="X40" s="62">
        <v>16</v>
      </c>
      <c r="Y40" s="62">
        <v>23.5</v>
      </c>
      <c r="Z40" s="594">
        <v>31.3</v>
      </c>
      <c r="AA40" s="62">
        <v>7.5</v>
      </c>
      <c r="AB40" s="62">
        <v>14.6</v>
      </c>
      <c r="AC40" s="62">
        <v>20.5</v>
      </c>
      <c r="AD40" s="62">
        <v>26.2</v>
      </c>
      <c r="AE40" s="593">
        <v>4.8</v>
      </c>
      <c r="AF40" s="62">
        <v>11.8</v>
      </c>
      <c r="AG40" s="62">
        <v>18.3</v>
      </c>
      <c r="AH40" s="594">
        <v>24</v>
      </c>
      <c r="AI40" s="62">
        <v>4.8</v>
      </c>
      <c r="AJ40" s="62">
        <v>11.8</v>
      </c>
      <c r="AK40" s="62">
        <v>18.3</v>
      </c>
      <c r="AL40" s="62">
        <v>24</v>
      </c>
      <c r="AM40" s="593">
        <v>4.9000000000000004</v>
      </c>
      <c r="AN40" s="62">
        <v>6.8</v>
      </c>
      <c r="AO40" s="62">
        <v>6.7</v>
      </c>
      <c r="AP40" s="594">
        <v>6.7</v>
      </c>
      <c r="AQ40" s="62">
        <v>0.7</v>
      </c>
      <c r="AR40" s="62">
        <v>2.7</v>
      </c>
      <c r="AS40" s="62">
        <v>3.8</v>
      </c>
      <c r="AT40" s="594">
        <v>7.6</v>
      </c>
      <c r="AU40" s="62">
        <v>10.9</v>
      </c>
      <c r="AV40" s="62">
        <v>32.4</v>
      </c>
      <c r="AW40" s="62">
        <v>46.6</v>
      </c>
      <c r="AX40" s="594">
        <v>66.599999999999994</v>
      </c>
      <c r="AY40" s="62">
        <v>24.4</v>
      </c>
      <c r="AZ40" s="62">
        <v>46.1</v>
      </c>
      <c r="BA40" s="62">
        <v>69.7</v>
      </c>
      <c r="BB40" s="594">
        <v>106.3</v>
      </c>
      <c r="BC40" s="62">
        <v>30.5</v>
      </c>
      <c r="BD40" s="62">
        <v>69.3</v>
      </c>
      <c r="BE40" s="62">
        <v>106.4</v>
      </c>
      <c r="BF40" s="594">
        <v>138.4</v>
      </c>
      <c r="BG40" s="62">
        <v>31.7</v>
      </c>
      <c r="BH40" s="62"/>
      <c r="BI40" s="62"/>
      <c r="BJ40" s="594"/>
    </row>
    <row r="41" spans="1:65" s="239" customFormat="1" ht="25.2" customHeight="1">
      <c r="A41" s="359" t="s">
        <v>352</v>
      </c>
      <c r="B41" s="612" t="s">
        <v>353</v>
      </c>
      <c r="C41" s="360">
        <f t="shared" ref="C41:R41" si="4">SUM(C38:C40)</f>
        <v>223.97899999999998</v>
      </c>
      <c r="D41" s="360">
        <f t="shared" si="4"/>
        <v>376.56700000000001</v>
      </c>
      <c r="E41" s="360">
        <f t="shared" si="4"/>
        <v>581.96400000000017</v>
      </c>
      <c r="F41" s="360">
        <f t="shared" si="4"/>
        <v>781.36700000000008</v>
      </c>
      <c r="G41" s="598">
        <f t="shared" si="4"/>
        <v>155.44299999999998</v>
      </c>
      <c r="H41" s="360">
        <f t="shared" si="4"/>
        <v>331.71299999999997</v>
      </c>
      <c r="I41" s="360">
        <f t="shared" si="4"/>
        <v>519.3549999999999</v>
      </c>
      <c r="J41" s="599">
        <f t="shared" si="4"/>
        <v>802.65899999999988</v>
      </c>
      <c r="K41" s="360">
        <f t="shared" si="4"/>
        <v>169.06</v>
      </c>
      <c r="L41" s="360">
        <f t="shared" si="4"/>
        <v>649.5999999999998</v>
      </c>
      <c r="M41" s="360">
        <f t="shared" si="4"/>
        <v>1321.8000000000002</v>
      </c>
      <c r="N41" s="360">
        <f t="shared" si="4"/>
        <v>1973.8999999999999</v>
      </c>
      <c r="O41" s="598">
        <f t="shared" si="4"/>
        <v>417.7000000000001</v>
      </c>
      <c r="P41" s="360">
        <f t="shared" si="4"/>
        <v>1304.2999999999995</v>
      </c>
      <c r="Q41" s="360">
        <f t="shared" si="4"/>
        <v>2109.7999999999993</v>
      </c>
      <c r="R41" s="599">
        <f t="shared" si="4"/>
        <v>2887.7</v>
      </c>
      <c r="S41" s="360">
        <f t="shared" ref="S41" si="5">SUM(S38:S40)</f>
        <v>446.80000000000013</v>
      </c>
      <c r="T41" s="360">
        <f t="shared" ref="T41:U41" si="6">SUM(T38:T40)</f>
        <v>1376</v>
      </c>
      <c r="U41" s="360">
        <f t="shared" si="6"/>
        <v>2140.900000000001</v>
      </c>
      <c r="V41" s="360">
        <f t="shared" ref="V41:Z41" si="7">SUM(V38:V40)</f>
        <v>2884.7000000000003</v>
      </c>
      <c r="W41" s="598">
        <f t="shared" si="7"/>
        <v>751.70000000000027</v>
      </c>
      <c r="X41" s="360">
        <f t="shared" si="7"/>
        <v>1519.4</v>
      </c>
      <c r="Y41" s="360">
        <f t="shared" si="7"/>
        <v>2087.6999999999998</v>
      </c>
      <c r="Z41" s="599">
        <f t="shared" si="7"/>
        <v>2941.4000000000005</v>
      </c>
      <c r="AA41" s="360">
        <f t="shared" ref="AA41:AD41" si="8">SUM(AA38:AA40)</f>
        <v>570.00000000000011</v>
      </c>
      <c r="AB41" s="360">
        <f>SUM(AB38:AB40)</f>
        <v>1220.2</v>
      </c>
      <c r="AC41" s="360">
        <f>SUM(AC38:AC40)</f>
        <v>1976.2000000000003</v>
      </c>
      <c r="AD41" s="360">
        <f t="shared" si="8"/>
        <v>2915.1</v>
      </c>
      <c r="AE41" s="598">
        <f t="shared" ref="AE41:AH41" si="9">SUM(AE38:AE40)</f>
        <v>641.9</v>
      </c>
      <c r="AF41" s="360">
        <f t="shared" si="9"/>
        <v>1403.1000000000001</v>
      </c>
      <c r="AG41" s="360">
        <f t="shared" si="9"/>
        <v>2172.6000000000004</v>
      </c>
      <c r="AH41" s="599">
        <f t="shared" si="9"/>
        <v>3087.3</v>
      </c>
      <c r="AI41" s="360">
        <f t="shared" ref="AI41:AL41" si="10">SUM(AI38:AI40)</f>
        <v>700.9</v>
      </c>
      <c r="AJ41" s="360">
        <f t="shared" si="10"/>
        <v>1558.1000000000001</v>
      </c>
      <c r="AK41" s="360">
        <f t="shared" si="10"/>
        <v>2425.7000000000007</v>
      </c>
      <c r="AL41" s="360">
        <f t="shared" si="10"/>
        <v>3473.3999999999996</v>
      </c>
      <c r="AM41" s="598">
        <f t="shared" ref="AM41:AP41" si="11">SUM(AM38:AM40)</f>
        <v>778.78882651999993</v>
      </c>
      <c r="AN41" s="360">
        <f t="shared" si="11"/>
        <v>1353.2000000000005</v>
      </c>
      <c r="AO41" s="360">
        <v>2223.1</v>
      </c>
      <c r="AP41" s="599">
        <f t="shared" si="11"/>
        <v>3251.6999999999994</v>
      </c>
      <c r="AQ41" s="360">
        <f t="shared" ref="AQ41:AS41" si="12">SUM(AQ38:AQ40)</f>
        <v>889.00000000000011</v>
      </c>
      <c r="AR41" s="360">
        <f t="shared" si="12"/>
        <v>1618.7</v>
      </c>
      <c r="AS41" s="360">
        <f t="shared" si="12"/>
        <v>2442.7000000000012</v>
      </c>
      <c r="AT41" s="599">
        <f t="shared" ref="AT41:AW41" si="13">SUM(AT38:AT40)</f>
        <v>3234.2999999999979</v>
      </c>
      <c r="AU41" s="360">
        <f t="shared" si="13"/>
        <v>578.80000000000007</v>
      </c>
      <c r="AV41" s="360">
        <f>SUM(AV38:AV40)</f>
        <v>445.79999999999961</v>
      </c>
      <c r="AW41" s="360">
        <f t="shared" si="13"/>
        <v>1090.2000000000005</v>
      </c>
      <c r="AX41" s="599">
        <f t="shared" ref="AX41:AY41" si="14">SUM(AX38:AX40)</f>
        <v>1761.6999999999998</v>
      </c>
      <c r="AY41" s="360">
        <f t="shared" si="14"/>
        <v>299.60000000000065</v>
      </c>
      <c r="AZ41" s="360">
        <f>SUM(AZ38:AZ40)</f>
        <v>1239.6999999999991</v>
      </c>
      <c r="BA41" s="360">
        <f t="shared" ref="BA41:BC41" si="15">SUM(BA38:BA40)</f>
        <v>1468.2999999999995</v>
      </c>
      <c r="BB41" s="599">
        <f t="shared" si="15"/>
        <v>2392.3999999999996</v>
      </c>
      <c r="BC41" s="360">
        <f t="shared" si="15"/>
        <v>763.2</v>
      </c>
      <c r="BD41" s="360">
        <f>SUM(BD38:BD40)</f>
        <v>1463.9</v>
      </c>
      <c r="BE41" s="360">
        <f>SUM(BE38:BE40)</f>
        <v>2529.1999999999994</v>
      </c>
      <c r="BF41" s="599">
        <f>SUM(BF38:BF40)</f>
        <v>3427.1600000000003</v>
      </c>
      <c r="BG41" s="360">
        <f t="shared" ref="BG41" si="16">SUM(BG38:BG40)</f>
        <v>683.60000000000014</v>
      </c>
      <c r="BH41" s="360"/>
      <c r="BI41" s="360"/>
      <c r="BJ41" s="599"/>
      <c r="BM41" s="4"/>
    </row>
    <row r="42" spans="1:65" ht="20.149999999999999" customHeight="1">
      <c r="A42" s="64" t="s">
        <v>354</v>
      </c>
      <c r="B42" s="610" t="s">
        <v>355</v>
      </c>
      <c r="C42" s="62">
        <v>-13.759</v>
      </c>
      <c r="D42" s="62">
        <v>-28.18</v>
      </c>
      <c r="E42" s="62">
        <v>-40.478000000000002</v>
      </c>
      <c r="F42" s="62">
        <v>-54.936999999999998</v>
      </c>
      <c r="G42" s="593">
        <v>-21.702999999999999</v>
      </c>
      <c r="H42" s="62">
        <v>-40.633000000000003</v>
      </c>
      <c r="I42" s="62">
        <v>-53.000999999999998</v>
      </c>
      <c r="J42" s="594">
        <v>-60.844999999999999</v>
      </c>
      <c r="K42" s="62">
        <v>-19.433</v>
      </c>
      <c r="L42" s="62">
        <v>-93</v>
      </c>
      <c r="M42" s="62">
        <v>-180</v>
      </c>
      <c r="N42" s="62">
        <v>-263.60000000000002</v>
      </c>
      <c r="O42" s="593">
        <v>-137.6</v>
      </c>
      <c r="P42" s="62">
        <v>-187</v>
      </c>
      <c r="Q42" s="62">
        <v>-323.2</v>
      </c>
      <c r="R42" s="594">
        <v>-417.8</v>
      </c>
      <c r="S42" s="62">
        <v>-98.4</v>
      </c>
      <c r="T42" s="62">
        <v>-179.5</v>
      </c>
      <c r="U42" s="62">
        <v>-301.2</v>
      </c>
      <c r="V42" s="62">
        <v>-436.2</v>
      </c>
      <c r="W42" s="593">
        <v>-138.9</v>
      </c>
      <c r="X42" s="62">
        <v>-268.8</v>
      </c>
      <c r="Y42" s="62">
        <v>-418.9</v>
      </c>
      <c r="Z42" s="594">
        <v>-524.79999999999995</v>
      </c>
      <c r="AA42" s="62">
        <v>-131.6</v>
      </c>
      <c r="AB42" s="62">
        <v>-266.7</v>
      </c>
      <c r="AC42" s="62">
        <v>-465</v>
      </c>
      <c r="AD42" s="62">
        <v>-624.29999999999995</v>
      </c>
      <c r="AE42" s="593">
        <v>-251.4</v>
      </c>
      <c r="AF42" s="62">
        <v>-433.6</v>
      </c>
      <c r="AG42" s="62">
        <v>-651.9</v>
      </c>
      <c r="AH42" s="594">
        <v>-852.6</v>
      </c>
      <c r="AI42" s="62">
        <v>-251.4</v>
      </c>
      <c r="AJ42" s="62">
        <v>-433.6</v>
      </c>
      <c r="AK42" s="62">
        <v>-651.9</v>
      </c>
      <c r="AL42" s="62">
        <v>-852.6</v>
      </c>
      <c r="AM42" s="593">
        <v>-255.9</v>
      </c>
      <c r="AN42" s="62">
        <v>-441.3</v>
      </c>
      <c r="AO42" s="62">
        <v>-648.29999999999995</v>
      </c>
      <c r="AP42" s="594">
        <v>-1006.4</v>
      </c>
      <c r="AQ42" s="62">
        <v>-270.10000000000002</v>
      </c>
      <c r="AR42" s="62">
        <v>-567.4</v>
      </c>
      <c r="AS42" s="62">
        <v>-728.5</v>
      </c>
      <c r="AT42" s="594">
        <v>-924.1</v>
      </c>
      <c r="AU42" s="62">
        <v>-222.5</v>
      </c>
      <c r="AV42" s="62">
        <v>-422.7</v>
      </c>
      <c r="AW42" s="62">
        <v>-567.9</v>
      </c>
      <c r="AX42" s="601">
        <v>-776.9</v>
      </c>
      <c r="AY42" s="62">
        <v>-215.4</v>
      </c>
      <c r="AZ42" s="62">
        <v>-344.2</v>
      </c>
      <c r="BA42" s="62">
        <v>-765</v>
      </c>
      <c r="BB42" s="601">
        <v>-1289.4000000000001</v>
      </c>
      <c r="BC42" s="62">
        <v>-233.7</v>
      </c>
      <c r="BD42" s="62">
        <v>-520.5</v>
      </c>
      <c r="BE42" s="62">
        <v>-933.8</v>
      </c>
      <c r="BF42" s="601">
        <v>-1465.9</v>
      </c>
      <c r="BG42" s="62">
        <v>-340.5</v>
      </c>
      <c r="BH42" s="62"/>
      <c r="BI42" s="62"/>
      <c r="BJ42" s="601"/>
      <c r="BL42" s="208"/>
    </row>
    <row r="43" spans="1:65" ht="20.149999999999999" customHeight="1">
      <c r="A43" s="64" t="s">
        <v>356</v>
      </c>
      <c r="B43" s="610" t="s">
        <v>357</v>
      </c>
      <c r="C43" s="62">
        <v>-7.0449999999999999</v>
      </c>
      <c r="D43" s="62">
        <v>-11.33</v>
      </c>
      <c r="E43" s="62">
        <v>-23.225000000000001</v>
      </c>
      <c r="F43" s="62">
        <v>-36.24</v>
      </c>
      <c r="G43" s="593">
        <v>-13.377000000000001</v>
      </c>
      <c r="H43" s="62">
        <v>-20.378</v>
      </c>
      <c r="I43" s="62">
        <v>-45.453000000000003</v>
      </c>
      <c r="J43" s="594">
        <v>-62.041000000000004</v>
      </c>
      <c r="K43" s="62">
        <v>-19.987000000000002</v>
      </c>
      <c r="L43" s="62">
        <v>-46.6</v>
      </c>
      <c r="M43" s="62">
        <v>-57.4</v>
      </c>
      <c r="N43" s="62">
        <v>-71.8</v>
      </c>
      <c r="O43" s="593">
        <v>-19.100000000000001</v>
      </c>
      <c r="P43" s="62">
        <v>-90.7</v>
      </c>
      <c r="Q43" s="62">
        <v>-111.1</v>
      </c>
      <c r="R43" s="594">
        <v>-165.3</v>
      </c>
      <c r="S43" s="62">
        <v>-20.3</v>
      </c>
      <c r="T43" s="62">
        <v>-61.3</v>
      </c>
      <c r="U43" s="62">
        <v>-94.6</v>
      </c>
      <c r="V43" s="62">
        <v>-154.19999999999999</v>
      </c>
      <c r="W43" s="593">
        <v>-33.200000000000003</v>
      </c>
      <c r="X43" s="62">
        <v>-114.2</v>
      </c>
      <c r="Y43" s="62">
        <v>-137.30000000000001</v>
      </c>
      <c r="Z43" s="594">
        <v>-214.3</v>
      </c>
      <c r="AA43" s="62">
        <v>-42.8</v>
      </c>
      <c r="AB43" s="62">
        <v>-83.9</v>
      </c>
      <c r="AC43" s="62">
        <v>-168.4</v>
      </c>
      <c r="AD43" s="62">
        <v>-304.10000000000002</v>
      </c>
      <c r="AE43" s="593">
        <v>-108.5</v>
      </c>
      <c r="AF43" s="62">
        <v>-202.7</v>
      </c>
      <c r="AG43" s="62">
        <v>-302.7</v>
      </c>
      <c r="AH43" s="594">
        <v>-379</v>
      </c>
      <c r="AI43" s="62">
        <v>-108.5</v>
      </c>
      <c r="AJ43" s="62">
        <v>-202.7</v>
      </c>
      <c r="AK43" s="62">
        <v>-302.7</v>
      </c>
      <c r="AL43" s="62">
        <v>-379</v>
      </c>
      <c r="AM43" s="593">
        <v>-51.5</v>
      </c>
      <c r="AN43" s="62">
        <v>-90.2</v>
      </c>
      <c r="AO43" s="62">
        <v>-139.4</v>
      </c>
      <c r="AP43" s="594">
        <v>-211.5</v>
      </c>
      <c r="AQ43" s="62">
        <v>-65.400000000000006</v>
      </c>
      <c r="AR43" s="62">
        <v>-102.6</v>
      </c>
      <c r="AS43" s="62">
        <v>-173.3</v>
      </c>
      <c r="AT43" s="594">
        <v>-234.7</v>
      </c>
      <c r="AU43" s="62">
        <v>-102.4</v>
      </c>
      <c r="AV43" s="62">
        <v>-164.2</v>
      </c>
      <c r="AW43" s="62">
        <v>-244.3</v>
      </c>
      <c r="AX43" s="594">
        <v>-337.5</v>
      </c>
      <c r="AY43" s="62">
        <v>-79.8</v>
      </c>
      <c r="AZ43" s="62">
        <v>-166.8</v>
      </c>
      <c r="BA43" s="62">
        <v>-239.5</v>
      </c>
      <c r="BB43" s="601">
        <v>-312.5</v>
      </c>
      <c r="BC43" s="62">
        <v>-101.9</v>
      </c>
      <c r="BD43" s="62">
        <v>-173.2</v>
      </c>
      <c r="BE43" s="62">
        <v>-240.4</v>
      </c>
      <c r="BF43" s="601">
        <v>-318.3</v>
      </c>
      <c r="BG43" s="62">
        <v>-149.1</v>
      </c>
      <c r="BH43" s="62"/>
      <c r="BI43" s="62"/>
      <c r="BJ43" s="601"/>
      <c r="BL43" s="927"/>
    </row>
    <row r="44" spans="1:65" ht="20.149999999999999" customHeight="1">
      <c r="A44" s="64" t="s">
        <v>358</v>
      </c>
      <c r="B44" s="610" t="s">
        <v>359</v>
      </c>
      <c r="C44" s="62"/>
      <c r="D44" s="62"/>
      <c r="E44" s="62"/>
      <c r="F44" s="62"/>
      <c r="G44" s="593"/>
      <c r="H44" s="62"/>
      <c r="I44" s="62"/>
      <c r="J44" s="594"/>
      <c r="K44" s="62"/>
      <c r="L44" s="62"/>
      <c r="M44" s="62"/>
      <c r="N44" s="62"/>
      <c r="O44" s="593"/>
      <c r="P44" s="62"/>
      <c r="Q44" s="62"/>
      <c r="R44" s="594"/>
      <c r="S44" s="62"/>
      <c r="T44" s="62"/>
      <c r="U44" s="62"/>
      <c r="V44" s="62">
        <v>0</v>
      </c>
      <c r="W44" s="593"/>
      <c r="X44" s="62"/>
      <c r="Y44" s="62"/>
      <c r="Z44" s="594">
        <v>-9.3000000000000007</v>
      </c>
      <c r="AA44" s="62">
        <v>0</v>
      </c>
      <c r="AB44" s="62">
        <v>0</v>
      </c>
      <c r="AC44" s="62">
        <v>0</v>
      </c>
      <c r="AD44" s="62">
        <v>-9.1999999999999993</v>
      </c>
      <c r="AE44" s="593">
        <v>0</v>
      </c>
      <c r="AF44" s="62"/>
      <c r="AG44" s="62">
        <v>0</v>
      </c>
      <c r="AH44" s="594">
        <v>0</v>
      </c>
      <c r="AI44" s="62">
        <v>0</v>
      </c>
      <c r="AJ44" s="62">
        <v>0</v>
      </c>
      <c r="AK44" s="62">
        <v>0</v>
      </c>
      <c r="AL44" s="62">
        <v>0</v>
      </c>
      <c r="AM44" s="593">
        <v>0</v>
      </c>
      <c r="AN44" s="62">
        <v>-8.3000000000000007</v>
      </c>
      <c r="AO44" s="62">
        <v>-8.3000000000000007</v>
      </c>
      <c r="AP44" s="594">
        <v>-8.3000000000000007</v>
      </c>
      <c r="AQ44" s="62">
        <v>-27.8</v>
      </c>
      <c r="AR44" s="62">
        <v>-27.8</v>
      </c>
      <c r="AS44" s="62">
        <v>-27.8</v>
      </c>
      <c r="AT44" s="594">
        <v>-27.8</v>
      </c>
      <c r="AU44" s="62">
        <v>0</v>
      </c>
      <c r="AV44" s="62">
        <v>0</v>
      </c>
      <c r="AW44" s="62">
        <v>0</v>
      </c>
      <c r="AX44" s="594"/>
      <c r="AY44" s="62">
        <v>0</v>
      </c>
      <c r="AZ44" s="62">
        <v>-20</v>
      </c>
      <c r="BA44" s="62">
        <v>-20</v>
      </c>
      <c r="BB44" s="601">
        <v>-20</v>
      </c>
      <c r="BC44" s="62">
        <v>0</v>
      </c>
      <c r="BD44" s="62">
        <v>0</v>
      </c>
      <c r="BE44" s="62">
        <v>0</v>
      </c>
      <c r="BF44" s="601">
        <v>0</v>
      </c>
      <c r="BG44" s="62">
        <v>0</v>
      </c>
      <c r="BH44" s="62"/>
      <c r="BI44" s="62"/>
      <c r="BJ44" s="601"/>
    </row>
    <row r="45" spans="1:65" ht="20.149999999999999" customHeight="1">
      <c r="A45" s="64" t="s">
        <v>360</v>
      </c>
      <c r="B45" s="610" t="s">
        <v>361</v>
      </c>
      <c r="C45" s="63">
        <v>0</v>
      </c>
      <c r="D45" s="63">
        <v>0</v>
      </c>
      <c r="E45" s="63">
        <v>0</v>
      </c>
      <c r="F45" s="63">
        <v>0</v>
      </c>
      <c r="G45" s="614">
        <v>0</v>
      </c>
      <c r="H45" s="63">
        <v>0</v>
      </c>
      <c r="I45" s="63">
        <v>0</v>
      </c>
      <c r="J45" s="615">
        <v>0</v>
      </c>
      <c r="K45" s="63">
        <v>0</v>
      </c>
      <c r="L45" s="62">
        <v>0</v>
      </c>
      <c r="M45" s="62">
        <v>-482.3</v>
      </c>
      <c r="N45" s="62">
        <v>-482.3</v>
      </c>
      <c r="O45" s="593">
        <v>0</v>
      </c>
      <c r="P45" s="62">
        <v>0</v>
      </c>
      <c r="Q45" s="62">
        <v>-118.7</v>
      </c>
      <c r="R45" s="594">
        <v>-118.7</v>
      </c>
      <c r="S45" s="62">
        <v>-147.69999999999999</v>
      </c>
      <c r="T45" s="62">
        <v>-147.69999999999999</v>
      </c>
      <c r="U45" s="62">
        <v>-268.5</v>
      </c>
      <c r="V45" s="62">
        <v>-268.5</v>
      </c>
      <c r="W45" s="593">
        <v>0</v>
      </c>
      <c r="X45" s="62">
        <v>0</v>
      </c>
      <c r="Y45" s="62">
        <v>-120.7</v>
      </c>
      <c r="Z45" s="594">
        <v>-120.7</v>
      </c>
      <c r="AA45" s="62">
        <v>0</v>
      </c>
      <c r="AB45" s="62">
        <v>0</v>
      </c>
      <c r="AC45" s="62">
        <v>-119.6</v>
      </c>
      <c r="AD45" s="62">
        <v>-119.6</v>
      </c>
      <c r="AE45" s="593">
        <v>0</v>
      </c>
      <c r="AF45" s="62"/>
      <c r="AG45" s="62">
        <v>-122.4</v>
      </c>
      <c r="AH45" s="594">
        <v>-122.4</v>
      </c>
      <c r="AI45" s="62">
        <v>0</v>
      </c>
      <c r="AJ45" s="62">
        <v>0</v>
      </c>
      <c r="AK45" s="62">
        <v>-122.4</v>
      </c>
      <c r="AL45" s="62">
        <v>-122.4</v>
      </c>
      <c r="AM45" s="593">
        <v>0</v>
      </c>
      <c r="AN45" s="62">
        <v>-4.2</v>
      </c>
      <c r="AO45" s="62">
        <v>-126.8</v>
      </c>
      <c r="AP45" s="594">
        <v>-126.8</v>
      </c>
      <c r="AQ45" s="62">
        <v>-21.6</v>
      </c>
      <c r="AR45" s="62">
        <v>-28.3</v>
      </c>
      <c r="AS45" s="62">
        <v>-159.4</v>
      </c>
      <c r="AT45" s="594">
        <v>-159.4</v>
      </c>
      <c r="AU45" s="62">
        <v>-6.4</v>
      </c>
      <c r="AV45" s="62">
        <v>-8.1</v>
      </c>
      <c r="AW45" s="62">
        <v>-162.6</v>
      </c>
      <c r="AX45" s="594">
        <v>-514</v>
      </c>
      <c r="AY45" s="62">
        <v>-852.2</v>
      </c>
      <c r="AZ45" s="62">
        <v>-853.8</v>
      </c>
      <c r="BA45" s="62">
        <v>-1159.4000000000001</v>
      </c>
      <c r="BB45" s="601">
        <v>-1345.9</v>
      </c>
      <c r="BC45" s="62">
        <v>-271.89999999999998</v>
      </c>
      <c r="BD45" s="62">
        <v>-273.5</v>
      </c>
      <c r="BE45" s="62">
        <v>-278.7</v>
      </c>
      <c r="BF45" s="601">
        <v>-564.6</v>
      </c>
      <c r="BG45" s="62">
        <v>-155.5</v>
      </c>
      <c r="BH45" s="62"/>
      <c r="BI45" s="62"/>
      <c r="BJ45" s="601"/>
    </row>
    <row r="46" spans="1:65" ht="20.149999999999999" customHeight="1">
      <c r="A46" s="64" t="s">
        <v>362</v>
      </c>
      <c r="B46" s="610" t="s">
        <v>363</v>
      </c>
      <c r="C46" s="63"/>
      <c r="D46" s="63"/>
      <c r="E46" s="63"/>
      <c r="F46" s="63"/>
      <c r="G46" s="614"/>
      <c r="H46" s="63"/>
      <c r="I46" s="63"/>
      <c r="J46" s="615"/>
      <c r="K46" s="63"/>
      <c r="L46" s="63"/>
      <c r="M46" s="63"/>
      <c r="N46" s="62"/>
      <c r="O46" s="593"/>
      <c r="P46" s="63"/>
      <c r="Q46" s="63"/>
      <c r="R46" s="594"/>
      <c r="S46" s="63">
        <v>0</v>
      </c>
      <c r="T46" s="63">
        <v>0</v>
      </c>
      <c r="U46" s="63">
        <v>0</v>
      </c>
      <c r="V46" s="62">
        <v>0</v>
      </c>
      <c r="W46" s="593">
        <v>0</v>
      </c>
      <c r="X46" s="62">
        <v>0</v>
      </c>
      <c r="Y46" s="62">
        <v>0</v>
      </c>
      <c r="Z46" s="594">
        <v>-662.5</v>
      </c>
      <c r="AA46" s="62">
        <v>-11.3</v>
      </c>
      <c r="AB46" s="62">
        <v>-15.7</v>
      </c>
      <c r="AC46" s="62">
        <v>-15.7</v>
      </c>
      <c r="AD46" s="62">
        <v>-16.100000000000001</v>
      </c>
      <c r="AE46" s="593">
        <v>0</v>
      </c>
      <c r="AF46" s="62">
        <v>-14.7</v>
      </c>
      <c r="AG46" s="62">
        <v>-14.7</v>
      </c>
      <c r="AH46" s="594">
        <v>-1232.5</v>
      </c>
      <c r="AI46" s="62">
        <v>0</v>
      </c>
      <c r="AJ46" s="62">
        <v>-14.7</v>
      </c>
      <c r="AK46" s="62">
        <v>-14.7</v>
      </c>
      <c r="AL46" s="62">
        <v>-1232.5</v>
      </c>
      <c r="AM46" s="593">
        <v>-7.4</v>
      </c>
      <c r="AN46" s="62">
        <v>-7.4</v>
      </c>
      <c r="AO46" s="62">
        <v>-18.8</v>
      </c>
      <c r="AP46" s="594">
        <v>-11.4</v>
      </c>
      <c r="AQ46" s="62">
        <v>0</v>
      </c>
      <c r="AR46" s="62">
        <v>-500</v>
      </c>
      <c r="AS46" s="62">
        <v>-500</v>
      </c>
      <c r="AT46" s="594">
        <v>-500</v>
      </c>
      <c r="AU46" s="62">
        <v>0</v>
      </c>
      <c r="AV46" s="62">
        <v>-4.9000000000000004</v>
      </c>
      <c r="AW46" s="62">
        <v>-4.9000000000000004</v>
      </c>
      <c r="AX46" s="594">
        <v>-4.9000000000000004</v>
      </c>
      <c r="AY46" s="62">
        <v>0</v>
      </c>
      <c r="AZ46" s="62">
        <v>0</v>
      </c>
      <c r="BA46" s="62">
        <v>0</v>
      </c>
      <c r="BB46" s="594">
        <v>0</v>
      </c>
      <c r="BC46" s="62">
        <v>0</v>
      </c>
      <c r="BD46" s="62">
        <v>0</v>
      </c>
      <c r="BE46" s="62">
        <v>0</v>
      </c>
      <c r="BF46" s="594">
        <v>0</v>
      </c>
      <c r="BG46" s="62">
        <v>0</v>
      </c>
      <c r="BH46" s="62"/>
      <c r="BI46" s="62"/>
      <c r="BJ46" s="594"/>
    </row>
    <row r="47" spans="1:65" ht="25.75">
      <c r="A47" s="64" t="s">
        <v>364</v>
      </c>
      <c r="B47" s="610" t="s">
        <v>365</v>
      </c>
      <c r="C47" s="62">
        <v>-2.3290000000000002</v>
      </c>
      <c r="D47" s="62">
        <v>-45.099000000000004</v>
      </c>
      <c r="E47" s="62">
        <v>-45.329000000000001</v>
      </c>
      <c r="F47" s="62">
        <v>-45.710999999999999</v>
      </c>
      <c r="G47" s="593">
        <v>-0.153</v>
      </c>
      <c r="H47" s="62">
        <v>-0.26800000000000002</v>
      </c>
      <c r="I47" s="62">
        <v>-64.186999999999998</v>
      </c>
      <c r="J47" s="594">
        <v>-64.266000000000005</v>
      </c>
      <c r="K47" s="63">
        <v>0</v>
      </c>
      <c r="L47" s="62">
        <v>1800.4</v>
      </c>
      <c r="M47" s="62">
        <v>1800.4</v>
      </c>
      <c r="N47" s="62">
        <v>1800.4</v>
      </c>
      <c r="O47" s="593">
        <v>-4.2</v>
      </c>
      <c r="P47" s="62">
        <v>-29.5</v>
      </c>
      <c r="Q47" s="62">
        <v>-29.5</v>
      </c>
      <c r="R47" s="594">
        <v>-29.5</v>
      </c>
      <c r="S47" s="62">
        <v>262.2</v>
      </c>
      <c r="T47" s="62">
        <v>-145.30000000000001</v>
      </c>
      <c r="U47" s="62">
        <v>-144.4</v>
      </c>
      <c r="V47" s="62">
        <v>-144.4</v>
      </c>
      <c r="W47" s="593">
        <v>0</v>
      </c>
      <c r="X47" s="62">
        <v>0</v>
      </c>
      <c r="Y47" s="62">
        <v>1.6</v>
      </c>
      <c r="Z47" s="594">
        <v>-66.8</v>
      </c>
      <c r="AA47" s="62">
        <v>-16.7</v>
      </c>
      <c r="AB47" s="62">
        <v>-276.8</v>
      </c>
      <c r="AC47" s="62">
        <v>-453.7</v>
      </c>
      <c r="AD47" s="62">
        <v>-792.4</v>
      </c>
      <c r="AE47" s="593">
        <v>0</v>
      </c>
      <c r="AF47" s="62">
        <v>-63.8</v>
      </c>
      <c r="AG47" s="62">
        <v>-74.599999999999994</v>
      </c>
      <c r="AH47" s="594">
        <v>-108.5</v>
      </c>
      <c r="AI47" s="62">
        <v>0</v>
      </c>
      <c r="AJ47" s="62">
        <v>-63.8</v>
      </c>
      <c r="AK47" s="62">
        <v>-74.599999999999994</v>
      </c>
      <c r="AL47" s="62">
        <v>-108.5</v>
      </c>
      <c r="AM47" s="593">
        <v>-48.8</v>
      </c>
      <c r="AN47" s="62">
        <v>-48.8</v>
      </c>
      <c r="AO47" s="62">
        <v>-474.6</v>
      </c>
      <c r="AP47" s="594">
        <v>-479.2</v>
      </c>
      <c r="AQ47" s="62">
        <v>-0.7</v>
      </c>
      <c r="AR47" s="62">
        <v>-181.2</v>
      </c>
      <c r="AS47" s="62">
        <v>-938.2</v>
      </c>
      <c r="AT47" s="594">
        <v>-946.4</v>
      </c>
      <c r="AU47" s="62">
        <v>-13</v>
      </c>
      <c r="AV47" s="62">
        <v>-251.1</v>
      </c>
      <c r="AW47" s="62">
        <v>-260.3</v>
      </c>
      <c r="AX47" s="594">
        <v>-266.5</v>
      </c>
      <c r="AY47" s="62">
        <v>-0.1</v>
      </c>
      <c r="AZ47" s="62">
        <v>-0.1</v>
      </c>
      <c r="BA47" s="62">
        <v>126.9</v>
      </c>
      <c r="BB47" s="601">
        <v>-84.9</v>
      </c>
      <c r="BC47" s="62">
        <v>-6.2</v>
      </c>
      <c r="BD47" s="62">
        <v>-108.4</v>
      </c>
      <c r="BE47" s="62">
        <v>-133.19999999999999</v>
      </c>
      <c r="BF47" s="601">
        <v>-237.4</v>
      </c>
      <c r="BG47" s="62">
        <v>-51.8</v>
      </c>
      <c r="BH47" s="62"/>
      <c r="BI47" s="62"/>
      <c r="BJ47" s="601"/>
    </row>
    <row r="48" spans="1:65" s="91" customFormat="1">
      <c r="A48" s="172" t="s">
        <v>366</v>
      </c>
      <c r="B48" s="611" t="s">
        <v>367</v>
      </c>
      <c r="C48" s="234"/>
      <c r="D48" s="234"/>
      <c r="E48" s="234"/>
      <c r="F48" s="234"/>
      <c r="G48" s="600"/>
      <c r="H48" s="234"/>
      <c r="I48" s="234"/>
      <c r="J48" s="601"/>
      <c r="K48" s="235"/>
      <c r="L48" s="234"/>
      <c r="M48" s="234"/>
      <c r="N48" s="234"/>
      <c r="O48" s="600"/>
      <c r="P48" s="234"/>
      <c r="Q48" s="234"/>
      <c r="R48" s="601"/>
      <c r="S48" s="234"/>
      <c r="T48" s="234"/>
      <c r="U48" s="234"/>
      <c r="V48" s="234"/>
      <c r="W48" s="600"/>
      <c r="X48" s="234"/>
      <c r="Y48" s="234"/>
      <c r="Z48" s="601"/>
      <c r="AA48" s="234"/>
      <c r="AB48" s="234"/>
      <c r="AC48" s="234"/>
      <c r="AD48" s="234"/>
      <c r="AE48" s="600"/>
      <c r="AF48" s="234">
        <v>-16.3</v>
      </c>
      <c r="AG48" s="234">
        <v>-16.3</v>
      </c>
      <c r="AH48" s="601">
        <v>-16.3</v>
      </c>
      <c r="AI48" s="234"/>
      <c r="AJ48" s="234">
        <v>-16.3</v>
      </c>
      <c r="AK48" s="234">
        <v>-16.3</v>
      </c>
      <c r="AL48" s="234">
        <v>-16.3</v>
      </c>
      <c r="AM48" s="600">
        <v>0</v>
      </c>
      <c r="AN48" s="234">
        <v>0</v>
      </c>
      <c r="AO48" s="234">
        <v>0</v>
      </c>
      <c r="AP48" s="601">
        <v>0</v>
      </c>
      <c r="AQ48" s="234">
        <v>0</v>
      </c>
      <c r="AR48" s="234">
        <v>0</v>
      </c>
      <c r="AS48" s="234">
        <v>0</v>
      </c>
      <c r="AT48" s="601">
        <v>0</v>
      </c>
      <c r="AU48" s="234">
        <v>0</v>
      </c>
      <c r="AV48" s="234">
        <v>-473.8</v>
      </c>
      <c r="AW48" s="234">
        <v>-473.8</v>
      </c>
      <c r="AX48" s="601">
        <v>-473.8</v>
      </c>
      <c r="AY48" s="234">
        <v>0</v>
      </c>
      <c r="AZ48" s="234">
        <v>0</v>
      </c>
      <c r="BA48" s="62">
        <v>0</v>
      </c>
      <c r="BB48" s="601">
        <v>0</v>
      </c>
      <c r="BC48" s="62">
        <v>0</v>
      </c>
      <c r="BD48" s="62">
        <v>0</v>
      </c>
      <c r="BE48" s="62">
        <v>0</v>
      </c>
      <c r="BF48" s="601">
        <v>0</v>
      </c>
      <c r="BG48" s="62">
        <v>0</v>
      </c>
      <c r="BH48" s="62"/>
      <c r="BI48" s="62"/>
      <c r="BJ48" s="601"/>
      <c r="BM48" s="4"/>
    </row>
    <row r="49" spans="1:65" ht="25.75">
      <c r="A49" s="64" t="s">
        <v>368</v>
      </c>
      <c r="B49" s="610" t="s">
        <v>369</v>
      </c>
      <c r="C49" s="63">
        <v>0</v>
      </c>
      <c r="D49" s="63">
        <v>0</v>
      </c>
      <c r="E49" s="63">
        <v>0</v>
      </c>
      <c r="F49" s="63">
        <v>0</v>
      </c>
      <c r="G49" s="614">
        <v>0</v>
      </c>
      <c r="H49" s="63">
        <v>0</v>
      </c>
      <c r="I49" s="62">
        <v>48.219000000000001</v>
      </c>
      <c r="J49" s="594">
        <v>48.736000000000004</v>
      </c>
      <c r="K49" s="63">
        <v>0</v>
      </c>
      <c r="L49" s="62">
        <v>0</v>
      </c>
      <c r="M49" s="62">
        <v>0</v>
      </c>
      <c r="N49" s="62">
        <v>0</v>
      </c>
      <c r="O49" s="593">
        <v>0</v>
      </c>
      <c r="P49" s="62">
        <v>0</v>
      </c>
      <c r="Q49" s="62">
        <v>0</v>
      </c>
      <c r="R49" s="594">
        <v>0</v>
      </c>
      <c r="S49" s="62">
        <v>0</v>
      </c>
      <c r="T49" s="62">
        <v>0.2</v>
      </c>
      <c r="U49" s="62">
        <v>0.2</v>
      </c>
      <c r="V49" s="62">
        <v>0</v>
      </c>
      <c r="W49" s="593">
        <v>0</v>
      </c>
      <c r="X49" s="62">
        <v>0</v>
      </c>
      <c r="Y49" s="62">
        <v>0</v>
      </c>
      <c r="Z49" s="594">
        <v>0</v>
      </c>
      <c r="AA49" s="62">
        <v>0</v>
      </c>
      <c r="AB49" s="62">
        <v>0</v>
      </c>
      <c r="AC49" s="62">
        <v>0</v>
      </c>
      <c r="AD49" s="62">
        <v>0</v>
      </c>
      <c r="AE49" s="593">
        <v>0</v>
      </c>
      <c r="AF49" s="62">
        <v>0</v>
      </c>
      <c r="AG49" s="62"/>
      <c r="AH49" s="594">
        <v>0</v>
      </c>
      <c r="AI49" s="62">
        <v>0</v>
      </c>
      <c r="AJ49" s="62">
        <v>0</v>
      </c>
      <c r="AK49" s="62">
        <v>0</v>
      </c>
      <c r="AL49" s="62">
        <v>0</v>
      </c>
      <c r="AM49" s="593">
        <v>0</v>
      </c>
      <c r="AN49" s="62">
        <v>0</v>
      </c>
      <c r="AO49" s="62">
        <v>0</v>
      </c>
      <c r="AP49" s="594">
        <v>0</v>
      </c>
      <c r="AQ49" s="62">
        <v>0</v>
      </c>
      <c r="AR49" s="62">
        <v>0</v>
      </c>
      <c r="AS49" s="62">
        <v>7111.9</v>
      </c>
      <c r="AT49" s="594">
        <v>7111.9</v>
      </c>
      <c r="AU49" s="62">
        <v>0</v>
      </c>
      <c r="AV49" s="62">
        <v>0</v>
      </c>
      <c r="AW49" s="62">
        <v>643.29999999999995</v>
      </c>
      <c r="AX49" s="594">
        <v>757.4</v>
      </c>
      <c r="AY49" s="62">
        <v>0</v>
      </c>
      <c r="AZ49" s="62"/>
      <c r="BA49" s="62">
        <v>913.8</v>
      </c>
      <c r="BB49" s="601">
        <v>913.8</v>
      </c>
      <c r="BC49" s="62">
        <v>12</v>
      </c>
      <c r="BD49" s="62">
        <v>12</v>
      </c>
      <c r="BE49" s="62">
        <v>12</v>
      </c>
      <c r="BF49" s="601">
        <v>13.3</v>
      </c>
      <c r="BG49" s="62">
        <v>0</v>
      </c>
      <c r="BH49" s="62"/>
      <c r="BI49" s="62"/>
      <c r="BJ49" s="601"/>
    </row>
    <row r="50" spans="1:65" ht="20.149999999999999" customHeight="1">
      <c r="A50" s="64" t="s">
        <v>800</v>
      </c>
      <c r="B50" s="610" t="s">
        <v>803</v>
      </c>
      <c r="C50" s="62"/>
      <c r="D50" s="62"/>
      <c r="E50" s="62"/>
      <c r="F50" s="62"/>
      <c r="G50" s="593"/>
      <c r="H50" s="62"/>
      <c r="I50" s="62"/>
      <c r="J50" s="594"/>
      <c r="K50" s="63"/>
      <c r="L50" s="62"/>
      <c r="M50" s="62"/>
      <c r="N50" s="62"/>
      <c r="O50" s="593"/>
      <c r="P50" s="62"/>
      <c r="Q50" s="62"/>
      <c r="R50" s="594"/>
      <c r="S50" s="62"/>
      <c r="T50" s="62"/>
      <c r="U50" s="62"/>
      <c r="V50" s="62"/>
      <c r="W50" s="593"/>
      <c r="X50" s="62"/>
      <c r="Y50" s="62"/>
      <c r="Z50" s="594"/>
      <c r="AA50" s="62"/>
      <c r="AB50" s="62"/>
      <c r="AC50" s="62"/>
      <c r="AD50" s="62"/>
      <c r="AE50" s="593"/>
      <c r="AF50" s="62"/>
      <c r="AG50" s="62"/>
      <c r="AH50" s="594"/>
      <c r="AI50" s="62"/>
      <c r="AJ50" s="62"/>
      <c r="AK50" s="62"/>
      <c r="AL50" s="62"/>
      <c r="AM50" s="593"/>
      <c r="AN50" s="62"/>
      <c r="AO50" s="62"/>
      <c r="AP50" s="594"/>
      <c r="AQ50" s="62"/>
      <c r="AR50" s="62"/>
      <c r="AS50" s="62"/>
      <c r="AT50" s="594"/>
      <c r="AU50" s="62"/>
      <c r="AV50" s="62"/>
      <c r="AW50" s="62"/>
      <c r="AX50" s="601"/>
      <c r="AY50" s="62"/>
      <c r="AZ50" s="62"/>
      <c r="BA50" s="62"/>
      <c r="BB50" s="601"/>
      <c r="BC50" s="62"/>
      <c r="BD50" s="62"/>
      <c r="BE50" s="62"/>
      <c r="BF50" s="601"/>
      <c r="BG50" s="62">
        <v>718</v>
      </c>
      <c r="BH50" s="62"/>
      <c r="BI50" s="62"/>
      <c r="BJ50" s="601"/>
    </row>
    <row r="51" spans="1:65" ht="20.149999999999999" customHeight="1">
      <c r="A51" s="64" t="s">
        <v>370</v>
      </c>
      <c r="B51" s="610" t="s">
        <v>371</v>
      </c>
      <c r="C51" s="62">
        <v>0.09</v>
      </c>
      <c r="D51" s="62">
        <v>0.121</v>
      </c>
      <c r="E51" s="62">
        <v>0.69000000000000006</v>
      </c>
      <c r="F51" s="62">
        <v>0.751</v>
      </c>
      <c r="G51" s="593">
        <v>0.35000000000000003</v>
      </c>
      <c r="H51" s="62">
        <v>0.41000000000000003</v>
      </c>
      <c r="I51" s="62">
        <v>1.756</v>
      </c>
      <c r="J51" s="594">
        <v>2.0640000000000001</v>
      </c>
      <c r="K51" s="63">
        <v>0.33700000000000002</v>
      </c>
      <c r="L51" s="62">
        <v>1.6</v>
      </c>
      <c r="M51" s="62">
        <v>4</v>
      </c>
      <c r="N51" s="62">
        <v>4.0999999999999996</v>
      </c>
      <c r="O51" s="593">
        <v>0.2</v>
      </c>
      <c r="P51" s="62">
        <v>13.3</v>
      </c>
      <c r="Q51" s="62">
        <v>15.1</v>
      </c>
      <c r="R51" s="594">
        <v>16.899999999999999</v>
      </c>
      <c r="S51" s="62">
        <v>3.5</v>
      </c>
      <c r="T51" s="62">
        <v>5</v>
      </c>
      <c r="U51" s="62">
        <v>6.3</v>
      </c>
      <c r="V51" s="62">
        <v>9.5</v>
      </c>
      <c r="W51" s="593">
        <v>12.8</v>
      </c>
      <c r="X51" s="62">
        <v>16</v>
      </c>
      <c r="Y51" s="62">
        <v>15.8</v>
      </c>
      <c r="Z51" s="594">
        <v>19.3</v>
      </c>
      <c r="AA51" s="62">
        <v>3.4</v>
      </c>
      <c r="AB51" s="62">
        <v>10.6</v>
      </c>
      <c r="AC51" s="62">
        <v>11.6</v>
      </c>
      <c r="AD51" s="62">
        <v>11.6</v>
      </c>
      <c r="AE51" s="593">
        <v>2.5</v>
      </c>
      <c r="AF51" s="62">
        <v>4.2</v>
      </c>
      <c r="AG51" s="62">
        <v>4.8</v>
      </c>
      <c r="AH51" s="594">
        <v>6.8</v>
      </c>
      <c r="AI51" s="62">
        <v>2.5</v>
      </c>
      <c r="AJ51" s="62">
        <v>4.2</v>
      </c>
      <c r="AK51" s="62">
        <v>4.8</v>
      </c>
      <c r="AL51" s="62">
        <v>6.8</v>
      </c>
      <c r="AM51" s="593">
        <v>1.7</v>
      </c>
      <c r="AN51" s="62">
        <v>4.4000000000000004</v>
      </c>
      <c r="AO51" s="62">
        <v>5.5</v>
      </c>
      <c r="AP51" s="594">
        <v>8.4</v>
      </c>
      <c r="AQ51" s="62">
        <v>3.4</v>
      </c>
      <c r="AR51" s="62">
        <v>4</v>
      </c>
      <c r="AS51" s="62">
        <v>4.8</v>
      </c>
      <c r="AT51" s="594">
        <v>5.7</v>
      </c>
      <c r="AU51" s="62">
        <v>0.6</v>
      </c>
      <c r="AV51" s="62">
        <v>2.2999999999999998</v>
      </c>
      <c r="AW51" s="62">
        <v>2.5</v>
      </c>
      <c r="AX51" s="601">
        <v>78.2</v>
      </c>
      <c r="AY51" s="62">
        <v>6.4</v>
      </c>
      <c r="AZ51" s="62">
        <v>8.6</v>
      </c>
      <c r="BA51" s="62">
        <v>12.9</v>
      </c>
      <c r="BB51" s="601">
        <v>26.2</v>
      </c>
      <c r="BC51" s="62">
        <v>6.5</v>
      </c>
      <c r="BD51" s="62">
        <v>214.1</v>
      </c>
      <c r="BE51" s="62">
        <v>223.5</v>
      </c>
      <c r="BF51" s="601">
        <v>258</v>
      </c>
      <c r="BG51" s="62">
        <v>4.8</v>
      </c>
      <c r="BH51" s="62"/>
      <c r="BI51" s="62"/>
      <c r="BJ51" s="601"/>
    </row>
    <row r="52" spans="1:65" ht="20.149999999999999" customHeight="1">
      <c r="A52" s="64" t="s">
        <v>372</v>
      </c>
      <c r="B52" s="610" t="s">
        <v>373</v>
      </c>
      <c r="C52" s="62"/>
      <c r="D52" s="62"/>
      <c r="E52" s="62"/>
      <c r="F52" s="62"/>
      <c r="G52" s="593"/>
      <c r="H52" s="62"/>
      <c r="I52" s="62"/>
      <c r="J52" s="594"/>
      <c r="K52" s="63"/>
      <c r="L52" s="62"/>
      <c r="M52" s="62"/>
      <c r="N52" s="62"/>
      <c r="O52" s="593"/>
      <c r="P52" s="62"/>
      <c r="Q52" s="62"/>
      <c r="R52" s="594"/>
      <c r="S52" s="62"/>
      <c r="T52" s="62"/>
      <c r="U52" s="62"/>
      <c r="V52" s="62"/>
      <c r="W52" s="593"/>
      <c r="X52" s="62"/>
      <c r="Y52" s="62"/>
      <c r="Z52" s="594"/>
      <c r="AA52" s="62">
        <v>-45</v>
      </c>
      <c r="AB52" s="62">
        <f>-50+50.3</f>
        <v>0.29999999999999716</v>
      </c>
      <c r="AC52" s="62">
        <f>-95+95.4</f>
        <v>0.40000000000000568</v>
      </c>
      <c r="AD52" s="62">
        <f>-130+130.5</f>
        <v>0.5</v>
      </c>
      <c r="AE52" s="593">
        <v>0.1</v>
      </c>
      <c r="AF52" s="62">
        <v>0.3</v>
      </c>
      <c r="AG52" s="62">
        <f>100.5-100</f>
        <v>0.5</v>
      </c>
      <c r="AH52" s="594">
        <v>0.69999999999998863</v>
      </c>
      <c r="AI52" s="62">
        <v>0.1</v>
      </c>
      <c r="AJ52" s="62">
        <v>0.3</v>
      </c>
      <c r="AK52" s="62">
        <v>0.5</v>
      </c>
      <c r="AL52" s="62">
        <v>0.69999999999998863</v>
      </c>
      <c r="AM52" s="593">
        <v>0</v>
      </c>
      <c r="AN52" s="62">
        <v>0</v>
      </c>
      <c r="AO52" s="62">
        <v>0</v>
      </c>
      <c r="AP52" s="594">
        <v>0</v>
      </c>
      <c r="AQ52" s="62">
        <v>0</v>
      </c>
      <c r="AR52" s="62">
        <v>0</v>
      </c>
      <c r="AS52" s="62">
        <v>0</v>
      </c>
      <c r="AT52" s="594">
        <v>0</v>
      </c>
      <c r="AU52" s="62">
        <v>0</v>
      </c>
      <c r="AV52" s="62">
        <v>0</v>
      </c>
      <c r="AW52" s="62">
        <v>0</v>
      </c>
      <c r="AX52" s="594">
        <v>0</v>
      </c>
      <c r="AY52" s="62">
        <v>0</v>
      </c>
      <c r="AZ52" s="62">
        <v>0</v>
      </c>
      <c r="BA52" s="62">
        <v>0</v>
      </c>
      <c r="BB52" s="594">
        <v>0</v>
      </c>
      <c r="BC52" s="62">
        <v>0</v>
      </c>
      <c r="BD52" s="62">
        <v>0</v>
      </c>
      <c r="BE52" s="62">
        <v>0</v>
      </c>
      <c r="BF52" s="594">
        <v>0</v>
      </c>
      <c r="BG52" s="62">
        <v>0</v>
      </c>
      <c r="BH52" s="62"/>
      <c r="BI52" s="62"/>
      <c r="BJ52" s="594"/>
    </row>
    <row r="53" spans="1:65" ht="20.149999999999999" customHeight="1">
      <c r="A53" s="64" t="s">
        <v>374</v>
      </c>
      <c r="B53" s="610" t="s">
        <v>178</v>
      </c>
      <c r="C53" s="63">
        <v>0</v>
      </c>
      <c r="D53" s="63">
        <v>0</v>
      </c>
      <c r="E53" s="63">
        <v>0</v>
      </c>
      <c r="F53" s="63">
        <v>0</v>
      </c>
      <c r="G53" s="614">
        <v>0</v>
      </c>
      <c r="H53" s="63">
        <v>0</v>
      </c>
      <c r="I53" s="63">
        <v>0</v>
      </c>
      <c r="J53" s="615">
        <v>0</v>
      </c>
      <c r="K53" s="63">
        <v>0</v>
      </c>
      <c r="L53" s="62">
        <v>-270</v>
      </c>
      <c r="M53" s="62">
        <v>-30</v>
      </c>
      <c r="N53" s="62">
        <v>0</v>
      </c>
      <c r="O53" s="593">
        <v>-42.7</v>
      </c>
      <c r="P53" s="62">
        <v>-42.7</v>
      </c>
      <c r="Q53" s="62">
        <v>0</v>
      </c>
      <c r="R53" s="594">
        <v>0</v>
      </c>
      <c r="S53" s="62">
        <v>-12.4</v>
      </c>
      <c r="T53" s="62">
        <v>0</v>
      </c>
      <c r="U53" s="62">
        <v>0</v>
      </c>
      <c r="V53" s="62">
        <v>0</v>
      </c>
      <c r="W53" s="593">
        <v>0</v>
      </c>
      <c r="X53" s="62">
        <v>0</v>
      </c>
      <c r="Y53" s="62">
        <v>0</v>
      </c>
      <c r="Z53" s="594">
        <v>0</v>
      </c>
      <c r="AA53" s="62">
        <v>0</v>
      </c>
      <c r="AB53" s="62">
        <v>0</v>
      </c>
      <c r="AC53" s="62">
        <v>0</v>
      </c>
      <c r="AD53" s="62">
        <v>0</v>
      </c>
      <c r="AE53" s="593">
        <v>0</v>
      </c>
      <c r="AF53" s="62">
        <v>0</v>
      </c>
      <c r="AG53" s="62">
        <v>0</v>
      </c>
      <c r="AH53" s="594">
        <v>0</v>
      </c>
      <c r="AI53" s="62">
        <v>0</v>
      </c>
      <c r="AJ53" s="62">
        <v>0</v>
      </c>
      <c r="AK53" s="62">
        <v>0</v>
      </c>
      <c r="AL53" s="62">
        <v>0</v>
      </c>
      <c r="AM53" s="593">
        <v>0</v>
      </c>
      <c r="AN53" s="62">
        <v>0</v>
      </c>
      <c r="AO53" s="62">
        <v>0</v>
      </c>
      <c r="AP53" s="594">
        <v>0</v>
      </c>
      <c r="AQ53" s="62">
        <v>0</v>
      </c>
      <c r="AR53" s="62">
        <v>0</v>
      </c>
      <c r="AS53" s="62">
        <v>0</v>
      </c>
      <c r="AT53" s="594">
        <v>0</v>
      </c>
      <c r="AU53" s="62">
        <v>0</v>
      </c>
      <c r="AV53" s="62">
        <v>0</v>
      </c>
      <c r="AW53" s="62">
        <v>0</v>
      </c>
      <c r="AX53" s="594">
        <v>0</v>
      </c>
      <c r="AY53" s="62">
        <v>0</v>
      </c>
      <c r="AZ53" s="62">
        <v>0</v>
      </c>
      <c r="BA53" s="62">
        <v>0</v>
      </c>
      <c r="BB53" s="594">
        <v>0</v>
      </c>
      <c r="BC53" s="62">
        <v>0</v>
      </c>
      <c r="BD53" s="62">
        <v>0</v>
      </c>
      <c r="BE53" s="62">
        <v>0</v>
      </c>
      <c r="BF53" s="594">
        <v>0</v>
      </c>
      <c r="BG53" s="62">
        <v>0</v>
      </c>
      <c r="BH53" s="62"/>
      <c r="BI53" s="62"/>
      <c r="BJ53" s="594"/>
    </row>
    <row r="54" spans="1:65" ht="20.149999999999999" customHeight="1">
      <c r="A54" s="64" t="s">
        <v>375</v>
      </c>
      <c r="B54" s="610" t="s">
        <v>376</v>
      </c>
      <c r="C54" s="62">
        <v>-1.1000000000000001</v>
      </c>
      <c r="D54" s="62">
        <v>-1.1000000000000001</v>
      </c>
      <c r="E54" s="62">
        <v>-1.1000000000000001</v>
      </c>
      <c r="F54" s="62">
        <v>-1.1000000000000001</v>
      </c>
      <c r="G54" s="614">
        <v>0</v>
      </c>
      <c r="H54" s="63">
        <v>0</v>
      </c>
      <c r="I54" s="63">
        <v>0</v>
      </c>
      <c r="J54" s="615">
        <v>0</v>
      </c>
      <c r="K54" s="63">
        <v>0</v>
      </c>
      <c r="L54" s="62">
        <v>-5.8</v>
      </c>
      <c r="M54" s="62">
        <v>-20.399999999999999</v>
      </c>
      <c r="N54" s="62">
        <v>-23.1</v>
      </c>
      <c r="O54" s="593">
        <v>-6</v>
      </c>
      <c r="P54" s="62">
        <v>-8.9</v>
      </c>
      <c r="Q54" s="62">
        <v>-12.1</v>
      </c>
      <c r="R54" s="594">
        <v>-16.100000000000001</v>
      </c>
      <c r="S54" s="62">
        <v>-6.8</v>
      </c>
      <c r="T54" s="62">
        <v>-9.5</v>
      </c>
      <c r="U54" s="62">
        <v>-10.5</v>
      </c>
      <c r="V54" s="62">
        <v>-11.6</v>
      </c>
      <c r="W54" s="593">
        <v>0</v>
      </c>
      <c r="X54" s="62">
        <v>0</v>
      </c>
      <c r="Y54" s="62">
        <v>-28.6</v>
      </c>
      <c r="Z54" s="594">
        <v>-31.1</v>
      </c>
      <c r="AA54" s="62">
        <v>-11</v>
      </c>
      <c r="AB54" s="62">
        <v>-11</v>
      </c>
      <c r="AC54" s="62">
        <v>-11</v>
      </c>
      <c r="AD54" s="62">
        <v>-12.4</v>
      </c>
      <c r="AE54" s="593">
        <v>-12.9</v>
      </c>
      <c r="AF54" s="62">
        <v>-14.6</v>
      </c>
      <c r="AG54" s="62">
        <v>-15.3</v>
      </c>
      <c r="AH54" s="594">
        <v>-21.4</v>
      </c>
      <c r="AI54" s="62">
        <v>-12.9</v>
      </c>
      <c r="AJ54" s="62">
        <v>-14.6</v>
      </c>
      <c r="AK54" s="62">
        <v>-15.3</v>
      </c>
      <c r="AL54" s="62">
        <v>-21.4</v>
      </c>
      <c r="AM54" s="593">
        <v>-5</v>
      </c>
      <c r="AN54" s="62">
        <v>-8.3000000000000007</v>
      </c>
      <c r="AO54" s="62">
        <v>-12.2</v>
      </c>
      <c r="AP54" s="594">
        <v>-13</v>
      </c>
      <c r="AQ54" s="62">
        <v>-2</v>
      </c>
      <c r="AR54" s="62">
        <v>-5.7</v>
      </c>
      <c r="AS54" s="62">
        <v>-13.8</v>
      </c>
      <c r="AT54" s="594">
        <v>-64.900000000000006</v>
      </c>
      <c r="AU54" s="62">
        <v>-192.7</v>
      </c>
      <c r="AV54" s="62">
        <v>-482.2</v>
      </c>
      <c r="AW54" s="62">
        <v>-551.4</v>
      </c>
      <c r="AX54" s="594">
        <v>-686.9</v>
      </c>
      <c r="AY54" s="62">
        <v>-144</v>
      </c>
      <c r="AZ54" s="62">
        <v>-342.5</v>
      </c>
      <c r="BA54" s="62">
        <v>-342.5</v>
      </c>
      <c r="BB54" s="601">
        <v>-343.4</v>
      </c>
      <c r="BC54" s="62">
        <v>-0.5</v>
      </c>
      <c r="BD54" s="62">
        <v>-1</v>
      </c>
      <c r="BE54" s="62">
        <v>-9.6</v>
      </c>
      <c r="BF54" s="601">
        <v>-11.3</v>
      </c>
      <c r="BG54" s="62">
        <v>-0.1</v>
      </c>
      <c r="BH54" s="62"/>
      <c r="BI54" s="62"/>
      <c r="BJ54" s="601"/>
    </row>
    <row r="55" spans="1:65" ht="20.149999999999999" customHeight="1">
      <c r="A55" s="64" t="s">
        <v>377</v>
      </c>
      <c r="B55" s="610" t="s">
        <v>378</v>
      </c>
      <c r="C55" s="62">
        <v>0</v>
      </c>
      <c r="D55" s="62">
        <v>1.1000000000000001</v>
      </c>
      <c r="E55" s="62">
        <v>1.1000000000000001</v>
      </c>
      <c r="F55" s="62">
        <v>1.1000000000000001</v>
      </c>
      <c r="G55" s="614">
        <v>0</v>
      </c>
      <c r="H55" s="63">
        <v>0</v>
      </c>
      <c r="I55" s="63">
        <v>0</v>
      </c>
      <c r="J55" s="615">
        <v>0</v>
      </c>
      <c r="K55" s="63">
        <v>0</v>
      </c>
      <c r="L55" s="62">
        <v>0</v>
      </c>
      <c r="M55" s="62">
        <v>0</v>
      </c>
      <c r="N55" s="62">
        <v>0</v>
      </c>
      <c r="O55" s="593">
        <v>0</v>
      </c>
      <c r="P55" s="62">
        <v>0</v>
      </c>
      <c r="Q55" s="62">
        <v>0</v>
      </c>
      <c r="R55" s="594">
        <v>0</v>
      </c>
      <c r="S55" s="62">
        <v>0</v>
      </c>
      <c r="T55" s="62">
        <v>0</v>
      </c>
      <c r="U55" s="62">
        <v>0</v>
      </c>
      <c r="V55" s="62">
        <v>0.1</v>
      </c>
      <c r="W55" s="593">
        <v>0</v>
      </c>
      <c r="X55" s="62">
        <v>0</v>
      </c>
      <c r="Y55" s="62">
        <v>25</v>
      </c>
      <c r="Z55" s="594">
        <v>30.5</v>
      </c>
      <c r="AA55" s="62">
        <v>0</v>
      </c>
      <c r="AB55" s="62">
        <v>6.4</v>
      </c>
      <c r="AC55" s="62">
        <v>30</v>
      </c>
      <c r="AD55" s="62">
        <v>29.3</v>
      </c>
      <c r="AE55" s="593">
        <v>0</v>
      </c>
      <c r="AF55" s="62">
        <v>0</v>
      </c>
      <c r="AG55" s="62">
        <v>0</v>
      </c>
      <c r="AH55" s="594">
        <v>0.7</v>
      </c>
      <c r="AI55" s="62">
        <v>0</v>
      </c>
      <c r="AJ55" s="62">
        <v>0</v>
      </c>
      <c r="AK55" s="62">
        <v>0</v>
      </c>
      <c r="AL55" s="62">
        <v>0.7</v>
      </c>
      <c r="AM55" s="593">
        <v>0</v>
      </c>
      <c r="AN55" s="62">
        <v>0</v>
      </c>
      <c r="AO55" s="62">
        <v>0</v>
      </c>
      <c r="AP55" s="594">
        <v>0</v>
      </c>
      <c r="AQ55" s="62">
        <v>0</v>
      </c>
      <c r="AR55" s="62">
        <v>0</v>
      </c>
      <c r="AS55" s="62">
        <v>0</v>
      </c>
      <c r="AT55" s="594">
        <v>0</v>
      </c>
      <c r="AU55" s="62">
        <v>0</v>
      </c>
      <c r="AV55" s="62">
        <v>56.2</v>
      </c>
      <c r="AW55" s="62">
        <v>146.1</v>
      </c>
      <c r="AX55" s="594">
        <v>272.5</v>
      </c>
      <c r="AY55" s="62">
        <v>60.5</v>
      </c>
      <c r="AZ55" s="62">
        <v>132.80000000000001</v>
      </c>
      <c r="BA55" s="62">
        <v>132.80000000000001</v>
      </c>
      <c r="BB55" s="601">
        <v>133</v>
      </c>
      <c r="BC55" s="62">
        <v>0.5</v>
      </c>
      <c r="BD55" s="62">
        <v>95.9</v>
      </c>
      <c r="BE55" s="62">
        <v>95.9</v>
      </c>
      <c r="BF55" s="601">
        <v>96</v>
      </c>
      <c r="BG55" s="62">
        <v>0.3</v>
      </c>
      <c r="BH55" s="62"/>
      <c r="BI55" s="62"/>
      <c r="BJ55" s="601"/>
    </row>
    <row r="56" spans="1:65" ht="20.149999999999999" customHeight="1">
      <c r="A56" s="64" t="s">
        <v>379</v>
      </c>
      <c r="B56" s="610" t="s">
        <v>380</v>
      </c>
      <c r="C56" s="63">
        <v>0</v>
      </c>
      <c r="D56" s="63">
        <v>0</v>
      </c>
      <c r="E56" s="63">
        <v>0</v>
      </c>
      <c r="F56" s="63">
        <v>0</v>
      </c>
      <c r="G56" s="614">
        <v>0</v>
      </c>
      <c r="H56" s="63">
        <v>0</v>
      </c>
      <c r="I56" s="63">
        <v>0</v>
      </c>
      <c r="J56" s="615">
        <v>0</v>
      </c>
      <c r="K56" s="63">
        <v>0</v>
      </c>
      <c r="L56" s="62">
        <v>5</v>
      </c>
      <c r="M56" s="62">
        <v>5.5</v>
      </c>
      <c r="N56" s="62">
        <v>6.6</v>
      </c>
      <c r="O56" s="593">
        <v>1.2</v>
      </c>
      <c r="P56" s="62">
        <v>-2.1</v>
      </c>
      <c r="Q56" s="62">
        <v>3.2</v>
      </c>
      <c r="R56" s="594">
        <v>3.9</v>
      </c>
      <c r="S56" s="62">
        <v>-5</v>
      </c>
      <c r="T56" s="62">
        <v>-4</v>
      </c>
      <c r="U56" s="62">
        <v>-3.5</v>
      </c>
      <c r="V56" s="62">
        <v>-1.6</v>
      </c>
      <c r="W56" s="593">
        <v>-1.1000000000000001</v>
      </c>
      <c r="X56" s="62">
        <v>0</v>
      </c>
      <c r="Y56" s="83" t="s">
        <v>381</v>
      </c>
      <c r="Z56" s="596" t="s">
        <v>381</v>
      </c>
      <c r="AA56" s="62">
        <v>-1.5</v>
      </c>
      <c r="AB56" s="62">
        <v>0</v>
      </c>
      <c r="AC56" s="62">
        <v>0</v>
      </c>
      <c r="AD56" s="83">
        <v>0</v>
      </c>
      <c r="AE56" s="593">
        <v>0</v>
      </c>
      <c r="AF56" s="62">
        <v>0</v>
      </c>
      <c r="AG56" s="62">
        <v>0</v>
      </c>
      <c r="AH56" s="596">
        <v>0</v>
      </c>
      <c r="AI56" s="62">
        <v>0</v>
      </c>
      <c r="AJ56" s="62">
        <v>0</v>
      </c>
      <c r="AK56" s="62">
        <v>0</v>
      </c>
      <c r="AL56" s="83">
        <v>0</v>
      </c>
      <c r="AM56" s="593">
        <v>0</v>
      </c>
      <c r="AN56" s="62">
        <v>0</v>
      </c>
      <c r="AO56" s="62">
        <v>0</v>
      </c>
      <c r="AP56" s="596">
        <v>0</v>
      </c>
      <c r="AQ56" s="62">
        <v>0</v>
      </c>
      <c r="AR56" s="62">
        <v>0</v>
      </c>
      <c r="AS56" s="62">
        <v>0</v>
      </c>
      <c r="AT56" s="596">
        <v>0</v>
      </c>
      <c r="AU56" s="62">
        <v>0</v>
      </c>
      <c r="AV56" s="62">
        <v>0</v>
      </c>
      <c r="AW56" s="62">
        <v>0</v>
      </c>
      <c r="AX56" s="596">
        <v>0</v>
      </c>
      <c r="AY56" s="62">
        <v>0</v>
      </c>
      <c r="AZ56" s="62">
        <v>0</v>
      </c>
      <c r="BA56" s="62">
        <v>0</v>
      </c>
      <c r="BB56" s="601">
        <v>0</v>
      </c>
      <c r="BC56" s="62">
        <v>0</v>
      </c>
      <c r="BD56" s="62">
        <v>0</v>
      </c>
      <c r="BE56" s="62">
        <v>0</v>
      </c>
      <c r="BF56" s="601">
        <v>0</v>
      </c>
      <c r="BG56" s="62">
        <v>0</v>
      </c>
      <c r="BH56" s="62"/>
      <c r="BI56" s="62"/>
      <c r="BJ56" s="601"/>
    </row>
    <row r="57" spans="1:65" ht="20.149999999999999" customHeight="1">
      <c r="A57" s="64" t="s">
        <v>382</v>
      </c>
      <c r="B57" s="610" t="s">
        <v>383</v>
      </c>
      <c r="C57" s="63">
        <v>0</v>
      </c>
      <c r="D57" s="62">
        <v>1.258</v>
      </c>
      <c r="E57" s="62">
        <v>1.258</v>
      </c>
      <c r="F57" s="62">
        <v>2.706</v>
      </c>
      <c r="G57" s="593">
        <v>0</v>
      </c>
      <c r="H57" s="62">
        <v>2.5150000000000001</v>
      </c>
      <c r="I57" s="62">
        <v>2.5150000000000001</v>
      </c>
      <c r="J57" s="594">
        <v>2.5150000000000001</v>
      </c>
      <c r="K57" s="62">
        <v>2.5300000000000002</v>
      </c>
      <c r="L57" s="62">
        <v>2.5</v>
      </c>
      <c r="M57" s="62">
        <v>2.5</v>
      </c>
      <c r="N57" s="62">
        <v>2.5</v>
      </c>
      <c r="O57" s="593">
        <v>0</v>
      </c>
      <c r="P57" s="62">
        <v>0</v>
      </c>
      <c r="Q57" s="62">
        <v>0</v>
      </c>
      <c r="R57" s="594">
        <v>0</v>
      </c>
      <c r="S57" s="62">
        <v>0</v>
      </c>
      <c r="T57" s="62">
        <v>0</v>
      </c>
      <c r="U57" s="62">
        <v>0</v>
      </c>
      <c r="V57" s="62">
        <v>0</v>
      </c>
      <c r="W57" s="593">
        <v>0</v>
      </c>
      <c r="X57" s="62">
        <v>0</v>
      </c>
      <c r="Y57" s="62">
        <v>0</v>
      </c>
      <c r="Z57" s="594">
        <v>0</v>
      </c>
      <c r="AA57" s="62">
        <v>0</v>
      </c>
      <c r="AB57" s="62">
        <v>0</v>
      </c>
      <c r="AC57" s="62">
        <v>0</v>
      </c>
      <c r="AD57" s="62">
        <v>0</v>
      </c>
      <c r="AE57" s="593">
        <v>0</v>
      </c>
      <c r="AF57" s="62">
        <v>0</v>
      </c>
      <c r="AG57" s="62">
        <v>0</v>
      </c>
      <c r="AH57" s="594">
        <v>0</v>
      </c>
      <c r="AI57" s="62">
        <v>0</v>
      </c>
      <c r="AJ57" s="62">
        <v>0</v>
      </c>
      <c r="AK57" s="62">
        <v>0</v>
      </c>
      <c r="AL57" s="62">
        <v>0</v>
      </c>
      <c r="AM57" s="593">
        <v>0</v>
      </c>
      <c r="AN57" s="62">
        <v>56.8</v>
      </c>
      <c r="AO57" s="62">
        <v>57.2</v>
      </c>
      <c r="AP57" s="594">
        <v>57.2</v>
      </c>
      <c r="AQ57" s="62">
        <v>0</v>
      </c>
      <c r="AR57" s="602">
        <v>59.2</v>
      </c>
      <c r="AS57" s="62">
        <v>59.2</v>
      </c>
      <c r="AT57" s="594">
        <v>59.2</v>
      </c>
      <c r="AU57" s="62">
        <v>0</v>
      </c>
      <c r="AV57" s="62">
        <v>64</v>
      </c>
      <c r="AW57" s="62">
        <v>64</v>
      </c>
      <c r="AX57" s="594">
        <v>64</v>
      </c>
      <c r="AY57" s="62">
        <v>7.1</v>
      </c>
      <c r="AZ57" s="685">
        <v>73.8</v>
      </c>
      <c r="BA57" s="62">
        <v>73.8</v>
      </c>
      <c r="BB57" s="601">
        <v>73.8</v>
      </c>
      <c r="BC57" s="62">
        <v>0</v>
      </c>
      <c r="BD57" s="685">
        <v>30.8</v>
      </c>
      <c r="BE57" s="62">
        <v>30.8</v>
      </c>
      <c r="BF57" s="601">
        <v>30.8</v>
      </c>
      <c r="BG57" s="62">
        <v>0</v>
      </c>
      <c r="BH57" s="685"/>
      <c r="BI57" s="62"/>
      <c r="BJ57" s="601"/>
    </row>
    <row r="58" spans="1:65" s="91" customFormat="1" ht="20.149999999999999" customHeight="1">
      <c r="A58" s="172" t="s">
        <v>384</v>
      </c>
      <c r="B58" s="611" t="s">
        <v>385</v>
      </c>
      <c r="C58" s="235"/>
      <c r="D58" s="234"/>
      <c r="E58" s="234"/>
      <c r="F58" s="234"/>
      <c r="G58" s="600"/>
      <c r="H58" s="234"/>
      <c r="I58" s="234"/>
      <c r="J58" s="601"/>
      <c r="K58" s="234"/>
      <c r="L58" s="234"/>
      <c r="M58" s="234"/>
      <c r="N58" s="234"/>
      <c r="O58" s="600"/>
      <c r="P58" s="234"/>
      <c r="Q58" s="234"/>
      <c r="R58" s="601"/>
      <c r="S58" s="234"/>
      <c r="T58" s="234"/>
      <c r="U58" s="234"/>
      <c r="V58" s="234"/>
      <c r="W58" s="600"/>
      <c r="X58" s="234"/>
      <c r="Y58" s="234"/>
      <c r="Z58" s="601"/>
      <c r="AA58" s="234"/>
      <c r="AB58" s="234"/>
      <c r="AC58" s="234"/>
      <c r="AD58" s="234"/>
      <c r="AE58" s="600"/>
      <c r="AF58" s="234">
        <v>8.6999999999999993</v>
      </c>
      <c r="AG58" s="234">
        <v>8.6999999999999993</v>
      </c>
      <c r="AH58" s="601">
        <v>8.6999999999999993</v>
      </c>
      <c r="AI58" s="234"/>
      <c r="AJ58" s="234">
        <v>8.6999999999999993</v>
      </c>
      <c r="AK58" s="234">
        <v>8.6999999999999993</v>
      </c>
      <c r="AL58" s="234">
        <v>8.6999999999999993</v>
      </c>
      <c r="AM58" s="600">
        <v>0</v>
      </c>
      <c r="AN58" s="234">
        <v>1.4</v>
      </c>
      <c r="AO58" s="234">
        <v>1.4</v>
      </c>
      <c r="AP58" s="601">
        <v>1.4</v>
      </c>
      <c r="AQ58" s="234">
        <v>8.6</v>
      </c>
      <c r="AR58" s="602">
        <v>8.6</v>
      </c>
      <c r="AS58" s="234">
        <v>8.6</v>
      </c>
      <c r="AT58" s="601">
        <v>8.6</v>
      </c>
      <c r="AU58" s="234">
        <v>0</v>
      </c>
      <c r="AV58" s="62">
        <v>0</v>
      </c>
      <c r="AW58" s="62">
        <v>0</v>
      </c>
      <c r="AX58" s="601">
        <v>0</v>
      </c>
      <c r="AY58" s="234">
        <v>0</v>
      </c>
      <c r="AZ58" s="62">
        <v>22</v>
      </c>
      <c r="BA58" s="62">
        <v>22</v>
      </c>
      <c r="BB58" s="601">
        <v>22</v>
      </c>
      <c r="BC58" s="62">
        <v>0</v>
      </c>
      <c r="BD58" s="62">
        <v>0</v>
      </c>
      <c r="BE58" s="62">
        <v>21.9</v>
      </c>
      <c r="BF58" s="601">
        <v>21.9</v>
      </c>
      <c r="BG58" s="62">
        <v>0</v>
      </c>
      <c r="BH58" s="62"/>
      <c r="BI58" s="62"/>
      <c r="BJ58" s="601"/>
      <c r="BM58" s="4"/>
    </row>
    <row r="59" spans="1:65" ht="20.149999999999999" customHeight="1">
      <c r="A59" s="64" t="s">
        <v>386</v>
      </c>
      <c r="B59" s="610" t="s">
        <v>387</v>
      </c>
      <c r="C59" s="63">
        <v>0</v>
      </c>
      <c r="D59" s="63">
        <v>0</v>
      </c>
      <c r="E59" s="63">
        <v>0</v>
      </c>
      <c r="F59" s="63">
        <v>0</v>
      </c>
      <c r="G59" s="614">
        <v>0</v>
      </c>
      <c r="H59" s="63">
        <v>0</v>
      </c>
      <c r="I59" s="63">
        <v>0</v>
      </c>
      <c r="J59" s="615">
        <v>0</v>
      </c>
      <c r="K59" s="63">
        <v>0</v>
      </c>
      <c r="L59" s="62">
        <v>0</v>
      </c>
      <c r="M59" s="62">
        <v>0</v>
      </c>
      <c r="N59" s="62">
        <v>0</v>
      </c>
      <c r="O59" s="593">
        <v>0</v>
      </c>
      <c r="P59" s="62">
        <v>0</v>
      </c>
      <c r="Q59" s="62">
        <v>0</v>
      </c>
      <c r="R59" s="594">
        <v>0</v>
      </c>
      <c r="S59" s="62">
        <v>0</v>
      </c>
      <c r="T59" s="62">
        <v>1</v>
      </c>
      <c r="U59" s="62">
        <v>1</v>
      </c>
      <c r="V59" s="62">
        <v>3.5</v>
      </c>
      <c r="W59" s="593">
        <v>1.2</v>
      </c>
      <c r="X59" s="62">
        <v>-0.5</v>
      </c>
      <c r="Y59" s="62">
        <v>5.9</v>
      </c>
      <c r="Z59" s="594">
        <v>6.4</v>
      </c>
      <c r="AA59" s="62">
        <v>1.1000000000000001</v>
      </c>
      <c r="AB59" s="62">
        <v>-0.9</v>
      </c>
      <c r="AC59" s="62">
        <v>-5.9</v>
      </c>
      <c r="AD59" s="62">
        <v>1.2</v>
      </c>
      <c r="AE59" s="593">
        <v>3</v>
      </c>
      <c r="AF59" s="62">
        <v>0.5</v>
      </c>
      <c r="AG59" s="62">
        <v>2.4</v>
      </c>
      <c r="AH59" s="594">
        <v>0.7</v>
      </c>
      <c r="AI59" s="62">
        <v>3</v>
      </c>
      <c r="AJ59" s="62">
        <v>0.5</v>
      </c>
      <c r="AK59" s="62">
        <v>2.4</v>
      </c>
      <c r="AL59" s="62">
        <v>0.7</v>
      </c>
      <c r="AM59" s="593">
        <v>2.9</v>
      </c>
      <c r="AN59" s="62">
        <v>1.8</v>
      </c>
      <c r="AO59" s="62">
        <v>3.3</v>
      </c>
      <c r="AP59" s="594">
        <v>3.3</v>
      </c>
      <c r="AQ59" s="62">
        <v>1.4</v>
      </c>
      <c r="AR59" s="603">
        <v>2</v>
      </c>
      <c r="AS59" s="62">
        <v>2.5</v>
      </c>
      <c r="AT59" s="594">
        <v>-0.2</v>
      </c>
      <c r="AU59" s="62">
        <v>1.6</v>
      </c>
      <c r="AV59" s="685">
        <v>1.9</v>
      </c>
      <c r="AW59" s="685">
        <v>6.8</v>
      </c>
      <c r="AX59" s="594">
        <v>11.8</v>
      </c>
      <c r="AY59" s="62">
        <v>6.4</v>
      </c>
      <c r="AZ59" s="6">
        <v>8.3000000000000007</v>
      </c>
      <c r="BA59" s="62">
        <v>9.5</v>
      </c>
      <c r="BB59" s="601">
        <v>11.6</v>
      </c>
      <c r="BC59" s="62">
        <v>-2</v>
      </c>
      <c r="BD59" s="6">
        <v>3.7</v>
      </c>
      <c r="BE59" s="62">
        <v>3.1</v>
      </c>
      <c r="BF59" s="601">
        <v>3.5</v>
      </c>
      <c r="BG59" s="62">
        <v>1.3</v>
      </c>
      <c r="BH59" s="6"/>
      <c r="BI59" s="62"/>
      <c r="BJ59" s="601"/>
    </row>
    <row r="60" spans="1:65" s="239" customFormat="1" ht="25.2" customHeight="1">
      <c r="A60" s="359" t="s">
        <v>388</v>
      </c>
      <c r="B60" s="612" t="s">
        <v>389</v>
      </c>
      <c r="C60" s="360">
        <f t="shared" ref="C60:AN60" si="17">SUM(C42:C59)</f>
        <v>-24.143000000000004</v>
      </c>
      <c r="D60" s="360">
        <f t="shared" si="17"/>
        <v>-83.230000000000018</v>
      </c>
      <c r="E60" s="360">
        <f t="shared" si="17"/>
        <v>-107.08400000000002</v>
      </c>
      <c r="F60" s="360">
        <f t="shared" si="17"/>
        <v>-133.43099999999998</v>
      </c>
      <c r="G60" s="598">
        <f t="shared" si="17"/>
        <v>-34.882999999999996</v>
      </c>
      <c r="H60" s="360">
        <f t="shared" si="17"/>
        <v>-58.354000000000006</v>
      </c>
      <c r="I60" s="360">
        <f t="shared" si="17"/>
        <v>-110.15100000000002</v>
      </c>
      <c r="J60" s="599">
        <f t="shared" si="17"/>
        <v>-133.83700000000002</v>
      </c>
      <c r="K60" s="360">
        <f t="shared" si="17"/>
        <v>-36.552999999999997</v>
      </c>
      <c r="L60" s="360">
        <f t="shared" si="17"/>
        <v>1394.1000000000001</v>
      </c>
      <c r="M60" s="360">
        <f t="shared" si="17"/>
        <v>1042.3</v>
      </c>
      <c r="N60" s="360">
        <f t="shared" si="17"/>
        <v>972.80000000000007</v>
      </c>
      <c r="O60" s="598">
        <f t="shared" si="17"/>
        <v>-208.2</v>
      </c>
      <c r="P60" s="360">
        <f t="shared" si="17"/>
        <v>-347.59999999999997</v>
      </c>
      <c r="Q60" s="360">
        <f t="shared" si="17"/>
        <v>-576.29999999999995</v>
      </c>
      <c r="R60" s="599">
        <f t="shared" si="17"/>
        <v>-726.60000000000014</v>
      </c>
      <c r="S60" s="360">
        <f t="shared" si="17"/>
        <v>-24.899999999999988</v>
      </c>
      <c r="T60" s="360">
        <f t="shared" si="17"/>
        <v>-541.09999999999991</v>
      </c>
      <c r="U60" s="360">
        <f t="shared" si="17"/>
        <v>-815.19999999999993</v>
      </c>
      <c r="V60" s="360">
        <f t="shared" si="17"/>
        <v>-1003.4</v>
      </c>
      <c r="W60" s="598">
        <f t="shared" si="17"/>
        <v>-159.20000000000002</v>
      </c>
      <c r="X60" s="360">
        <f t="shared" si="17"/>
        <v>-367.5</v>
      </c>
      <c r="Y60" s="360">
        <f t="shared" si="17"/>
        <v>-657.20000000000016</v>
      </c>
      <c r="Z60" s="599">
        <f t="shared" si="17"/>
        <v>-1573.2999999999997</v>
      </c>
      <c r="AA60" s="360">
        <f t="shared" si="17"/>
        <v>-255.4</v>
      </c>
      <c r="AB60" s="360">
        <f t="shared" si="17"/>
        <v>-637.70000000000005</v>
      </c>
      <c r="AC60" s="360">
        <f t="shared" si="17"/>
        <v>-1197.3000000000002</v>
      </c>
      <c r="AD60" s="360">
        <f t="shared" si="17"/>
        <v>-1835.5</v>
      </c>
      <c r="AE60" s="598">
        <f t="shared" si="17"/>
        <v>-367.19999999999993</v>
      </c>
      <c r="AF60" s="360">
        <f t="shared" si="17"/>
        <v>-731.99999999999989</v>
      </c>
      <c r="AG60" s="360">
        <f t="shared" si="17"/>
        <v>-1181.4999999999998</v>
      </c>
      <c r="AH60" s="599">
        <f t="shared" si="17"/>
        <v>-2715.1000000000008</v>
      </c>
      <c r="AI60" s="360">
        <f t="shared" si="17"/>
        <v>-367.19999999999993</v>
      </c>
      <c r="AJ60" s="360">
        <f t="shared" si="17"/>
        <v>-731.99999999999989</v>
      </c>
      <c r="AK60" s="360">
        <f t="shared" si="17"/>
        <v>-1181.4999999999998</v>
      </c>
      <c r="AL60" s="360">
        <f t="shared" si="17"/>
        <v>-2715.1000000000008</v>
      </c>
      <c r="AM60" s="598">
        <f t="shared" si="17"/>
        <v>-364</v>
      </c>
      <c r="AN60" s="360">
        <f t="shared" si="17"/>
        <v>-544.1</v>
      </c>
      <c r="AO60" s="360">
        <v>-1361</v>
      </c>
      <c r="AP60" s="599">
        <f t="shared" ref="AP60:AX60" si="18">SUM(AP42:AP59)</f>
        <v>-1786.3</v>
      </c>
      <c r="AQ60" s="360">
        <f t="shared" si="18"/>
        <v>-374.20000000000005</v>
      </c>
      <c r="AR60" s="360">
        <f t="shared" si="18"/>
        <v>-1339.2</v>
      </c>
      <c r="AS60" s="360">
        <f t="shared" si="18"/>
        <v>4646</v>
      </c>
      <c r="AT60" s="599">
        <f t="shared" si="18"/>
        <v>4327.9000000000005</v>
      </c>
      <c r="AU60" s="360">
        <f t="shared" si="18"/>
        <v>-534.79999999999984</v>
      </c>
      <c r="AV60" s="360">
        <f t="shared" si="18"/>
        <v>-1682.6</v>
      </c>
      <c r="AW60" s="360">
        <f t="shared" si="18"/>
        <v>-1402.5000000000002</v>
      </c>
      <c r="AX60" s="599">
        <f t="shared" si="18"/>
        <v>-1876.6000000000001</v>
      </c>
      <c r="AY60" s="360">
        <f>SUM(AY42:AY59)</f>
        <v>-1211.0999999999999</v>
      </c>
      <c r="AZ60" s="360">
        <f>SUM(AZ42:AZ59)</f>
        <v>-1481.9</v>
      </c>
      <c r="BA60" s="360">
        <f t="shared" ref="BA60:BB60" si="19">SUM(BA42:BA59)</f>
        <v>-1234.7</v>
      </c>
      <c r="BB60" s="360">
        <f t="shared" si="19"/>
        <v>-2215.7000000000007</v>
      </c>
      <c r="BC60" s="360">
        <f>SUM(BC42:BC59)</f>
        <v>-597.20000000000005</v>
      </c>
      <c r="BD60" s="360">
        <f>SUM(BD42:BD59)</f>
        <v>-720.10000000000014</v>
      </c>
      <c r="BE60" s="360">
        <f>SUM(BE42:BE59)</f>
        <v>-1208.5</v>
      </c>
      <c r="BF60" s="360">
        <f>SUM(BF42:BF59)</f>
        <v>-2174</v>
      </c>
      <c r="BG60" s="360">
        <f>SUM(BG42:BG59)</f>
        <v>27.400000000000023</v>
      </c>
      <c r="BH60" s="360"/>
      <c r="BI60" s="360"/>
      <c r="BJ60" s="360"/>
      <c r="BM60" s="4"/>
    </row>
    <row r="61" spans="1:65" ht="20.149999999999999" customHeight="1">
      <c r="A61" s="64" t="s">
        <v>390</v>
      </c>
      <c r="B61" s="610" t="s">
        <v>391</v>
      </c>
      <c r="C61" s="62">
        <v>-26.754999999999999</v>
      </c>
      <c r="D61" s="62">
        <v>-155.76300000000001</v>
      </c>
      <c r="E61" s="62">
        <v>-397.57499999999999</v>
      </c>
      <c r="F61" s="62">
        <v>-453.32400000000001</v>
      </c>
      <c r="G61" s="593">
        <v>-49.813000000000002</v>
      </c>
      <c r="H61" s="62">
        <v>-192.59</v>
      </c>
      <c r="I61" s="62">
        <v>-366.16200000000003</v>
      </c>
      <c r="J61" s="594">
        <v>-431.11700000000002</v>
      </c>
      <c r="K61" s="62">
        <v>-37.393999999999998</v>
      </c>
      <c r="L61" s="62">
        <v>-547.1</v>
      </c>
      <c r="M61" s="62">
        <v>-747.1</v>
      </c>
      <c r="N61" s="62">
        <v>-1087.0999999999999</v>
      </c>
      <c r="O61" s="593">
        <v>-157</v>
      </c>
      <c r="P61" s="62">
        <v>-954.2</v>
      </c>
      <c r="Q61" s="62">
        <v>-9222.2000000000007</v>
      </c>
      <c r="R61" s="594">
        <v>-9222.2000000000007</v>
      </c>
      <c r="S61" s="62">
        <v>-916.1</v>
      </c>
      <c r="T61" s="62">
        <v>-1498.9</v>
      </c>
      <c r="U61" s="62">
        <v>-1706.9</v>
      </c>
      <c r="V61" s="62">
        <v>-1940.9</v>
      </c>
      <c r="W61" s="593">
        <v>-234</v>
      </c>
      <c r="X61" s="62">
        <v>-568</v>
      </c>
      <c r="Y61" s="62">
        <v>-802</v>
      </c>
      <c r="Z61" s="594">
        <v>-1162.5</v>
      </c>
      <c r="AA61" s="62">
        <v>-550</v>
      </c>
      <c r="AB61" s="62">
        <v>-652</v>
      </c>
      <c r="AC61" s="62">
        <v>-1077.8</v>
      </c>
      <c r="AD61" s="62">
        <v>-1282.2</v>
      </c>
      <c r="AE61" s="593">
        <v>-584.4</v>
      </c>
      <c r="AF61" s="62">
        <v>-851.6</v>
      </c>
      <c r="AG61" s="62">
        <v>-1406</v>
      </c>
      <c r="AH61" s="594">
        <v>-1742.5</v>
      </c>
      <c r="AI61" s="62">
        <v>-584.4</v>
      </c>
      <c r="AJ61" s="62">
        <v>-851.6</v>
      </c>
      <c r="AK61" s="62">
        <v>-1406</v>
      </c>
      <c r="AL61" s="62">
        <v>-1742.5</v>
      </c>
      <c r="AM61" s="593">
        <v>-857.2</v>
      </c>
      <c r="AN61" s="62">
        <v>-857.9</v>
      </c>
      <c r="AO61" s="62">
        <v>-857.9</v>
      </c>
      <c r="AP61" s="594">
        <v>-857.9</v>
      </c>
      <c r="AQ61" s="62">
        <v>0</v>
      </c>
      <c r="AR61" s="62">
        <v>-200</v>
      </c>
      <c r="AS61" s="62">
        <v>-1472.4</v>
      </c>
      <c r="AT61" s="594">
        <v>-2682.8</v>
      </c>
      <c r="AU61" s="62">
        <v>-200</v>
      </c>
      <c r="AV61" s="62">
        <v>-645.1</v>
      </c>
      <c r="AW61" s="234">
        <v>-845.1</v>
      </c>
      <c r="AX61" s="594">
        <v>-1045.0999999999999</v>
      </c>
      <c r="AY61" s="62">
        <v>-200</v>
      </c>
      <c r="AZ61" s="234">
        <v>-752.5</v>
      </c>
      <c r="BA61" s="234">
        <v>-760.1</v>
      </c>
      <c r="BB61" s="601">
        <v>-2327</v>
      </c>
      <c r="BC61" s="62">
        <v>-22.1</v>
      </c>
      <c r="BD61" s="234">
        <v>-161.5</v>
      </c>
      <c r="BE61" s="234">
        <v>-332.2</v>
      </c>
      <c r="BF61" s="601">
        <v>-730.5</v>
      </c>
      <c r="BG61" s="62">
        <v>-695.7</v>
      </c>
      <c r="BH61" s="234"/>
      <c r="BI61" s="234"/>
      <c r="BJ61" s="601"/>
    </row>
    <row r="62" spans="1:65" ht="20.149999999999999" customHeight="1">
      <c r="A62" s="64" t="s">
        <v>392</v>
      </c>
      <c r="B62" s="610" t="s">
        <v>393</v>
      </c>
      <c r="C62" s="63">
        <v>0</v>
      </c>
      <c r="D62" s="63">
        <v>0</v>
      </c>
      <c r="E62" s="63">
        <v>0</v>
      </c>
      <c r="F62" s="63">
        <v>0</v>
      </c>
      <c r="G62" s="614">
        <v>0</v>
      </c>
      <c r="H62" s="63">
        <v>0</v>
      </c>
      <c r="I62" s="63">
        <v>0</v>
      </c>
      <c r="J62" s="615">
        <v>0</v>
      </c>
      <c r="K62" s="63">
        <v>0</v>
      </c>
      <c r="L62" s="62">
        <v>2800</v>
      </c>
      <c r="M62" s="62">
        <v>2800</v>
      </c>
      <c r="N62" s="62">
        <v>2800</v>
      </c>
      <c r="O62" s="593">
        <v>50</v>
      </c>
      <c r="P62" s="62">
        <v>120</v>
      </c>
      <c r="Q62" s="62">
        <v>6820</v>
      </c>
      <c r="R62" s="594">
        <v>6820</v>
      </c>
      <c r="S62" s="62">
        <v>5500</v>
      </c>
      <c r="T62" s="62">
        <v>5500</v>
      </c>
      <c r="U62" s="62">
        <v>5500</v>
      </c>
      <c r="V62" s="62">
        <v>5500</v>
      </c>
      <c r="W62" s="593">
        <v>0</v>
      </c>
      <c r="X62" s="62">
        <v>600</v>
      </c>
      <c r="Y62" s="62">
        <v>600</v>
      </c>
      <c r="Z62" s="594">
        <v>1200</v>
      </c>
      <c r="AA62" s="62">
        <v>0</v>
      </c>
      <c r="AB62" s="62">
        <v>18.100000000000001</v>
      </c>
      <c r="AC62" s="62">
        <v>635.29999999999995</v>
      </c>
      <c r="AD62" s="62">
        <v>635.29999999999995</v>
      </c>
      <c r="AE62" s="593">
        <v>0</v>
      </c>
      <c r="AF62" s="62">
        <v>0</v>
      </c>
      <c r="AG62" s="62">
        <v>780</v>
      </c>
      <c r="AH62" s="594">
        <v>2010</v>
      </c>
      <c r="AI62" s="62">
        <v>0</v>
      </c>
      <c r="AJ62" s="62">
        <v>0</v>
      </c>
      <c r="AK62" s="62">
        <v>780</v>
      </c>
      <c r="AL62" s="62">
        <v>2010</v>
      </c>
      <c r="AM62" s="593">
        <v>35</v>
      </c>
      <c r="AN62" s="62">
        <v>35</v>
      </c>
      <c r="AO62" s="62">
        <v>35</v>
      </c>
      <c r="AP62" s="594">
        <v>35</v>
      </c>
      <c r="AQ62" s="62">
        <v>0</v>
      </c>
      <c r="AR62" s="62">
        <v>110</v>
      </c>
      <c r="AS62" s="62">
        <v>1665</v>
      </c>
      <c r="AT62" s="594">
        <v>1665</v>
      </c>
      <c r="AU62" s="62">
        <v>0</v>
      </c>
      <c r="AV62" s="62">
        <v>7.1</v>
      </c>
      <c r="AW62" s="62">
        <v>7.1</v>
      </c>
      <c r="AX62" s="594">
        <v>141.19999999999999</v>
      </c>
      <c r="AY62" s="62">
        <v>865.9</v>
      </c>
      <c r="AZ62" s="62">
        <v>3147.7</v>
      </c>
      <c r="BA62" s="234">
        <v>3162.9</v>
      </c>
      <c r="BB62" s="601">
        <v>3885.1</v>
      </c>
      <c r="BC62" s="62">
        <v>39.4</v>
      </c>
      <c r="BD62" s="62">
        <v>222.9</v>
      </c>
      <c r="BE62" s="234">
        <v>295.39999999999998</v>
      </c>
      <c r="BF62" s="601">
        <v>565.79999999999995</v>
      </c>
      <c r="BG62" s="62">
        <v>0</v>
      </c>
      <c r="BH62" s="62"/>
      <c r="BI62" s="234"/>
      <c r="BJ62" s="601"/>
    </row>
    <row r="63" spans="1:65" s="91" customFormat="1" ht="20.149999999999999" customHeight="1">
      <c r="A63" s="172" t="s">
        <v>394</v>
      </c>
      <c r="B63" s="611" t="s">
        <v>395</v>
      </c>
      <c r="C63" s="235">
        <v>0</v>
      </c>
      <c r="D63" s="235">
        <v>0</v>
      </c>
      <c r="E63" s="235">
        <v>0</v>
      </c>
      <c r="F63" s="235">
        <v>0</v>
      </c>
      <c r="G63" s="616">
        <v>0</v>
      </c>
      <c r="H63" s="235">
        <v>0</v>
      </c>
      <c r="I63" s="235">
        <v>0</v>
      </c>
      <c r="J63" s="617">
        <v>0</v>
      </c>
      <c r="K63" s="235">
        <v>0</v>
      </c>
      <c r="L63" s="234">
        <v>-2275.9</v>
      </c>
      <c r="M63" s="234">
        <v>-2275.9</v>
      </c>
      <c r="N63" s="234">
        <v>-2275.9</v>
      </c>
      <c r="O63" s="600">
        <v>0</v>
      </c>
      <c r="P63" s="234">
        <v>0</v>
      </c>
      <c r="Q63" s="234">
        <v>1000</v>
      </c>
      <c r="R63" s="601">
        <v>1000</v>
      </c>
      <c r="S63" s="234">
        <v>-4483.8</v>
      </c>
      <c r="T63" s="234">
        <v>-4483.8</v>
      </c>
      <c r="U63" s="234">
        <v>-4483.8</v>
      </c>
      <c r="V63" s="234">
        <v>-4484</v>
      </c>
      <c r="W63" s="600">
        <v>0</v>
      </c>
      <c r="X63" s="234">
        <v>-886.7</v>
      </c>
      <c r="Y63" s="234">
        <v>-886.7</v>
      </c>
      <c r="Z63" s="601">
        <v>-886.7</v>
      </c>
      <c r="AA63" s="234">
        <v>0</v>
      </c>
      <c r="AB63" s="234">
        <v>0</v>
      </c>
      <c r="AC63" s="234">
        <v>0</v>
      </c>
      <c r="AD63" s="234">
        <v>0</v>
      </c>
      <c r="AE63" s="600">
        <v>0</v>
      </c>
      <c r="AF63" s="236" t="s">
        <v>125</v>
      </c>
      <c r="AG63" s="236" t="s">
        <v>125</v>
      </c>
      <c r="AH63" s="596" t="s">
        <v>125</v>
      </c>
      <c r="AI63" s="234">
        <v>0</v>
      </c>
      <c r="AJ63" s="236" t="s">
        <v>125</v>
      </c>
      <c r="AK63" s="236" t="s">
        <v>125</v>
      </c>
      <c r="AL63" s="83" t="s">
        <v>125</v>
      </c>
      <c r="AM63" s="600">
        <v>1000</v>
      </c>
      <c r="AN63" s="234">
        <v>1000</v>
      </c>
      <c r="AO63" s="234">
        <v>1000</v>
      </c>
      <c r="AP63" s="594">
        <v>1000</v>
      </c>
      <c r="AQ63" s="234">
        <v>0</v>
      </c>
      <c r="AR63" s="234">
        <v>0</v>
      </c>
      <c r="AS63" s="234">
        <v>0</v>
      </c>
      <c r="AT63" s="594">
        <v>0</v>
      </c>
      <c r="AU63" s="234">
        <v>0</v>
      </c>
      <c r="AV63" s="234">
        <v>0</v>
      </c>
      <c r="AW63" s="234">
        <v>0</v>
      </c>
      <c r="AX63" s="594">
        <v>0</v>
      </c>
      <c r="AY63" s="234">
        <v>1142.0999999999999</v>
      </c>
      <c r="AZ63" s="234">
        <v>1088</v>
      </c>
      <c r="BA63" s="234">
        <v>1745.3</v>
      </c>
      <c r="BB63" s="601">
        <v>2145.3000000000002</v>
      </c>
      <c r="BC63" s="62">
        <v>-311.89999999999998</v>
      </c>
      <c r="BD63" s="234">
        <v>-311.89999999999998</v>
      </c>
      <c r="BE63" s="234">
        <v>-311.89999999999998</v>
      </c>
      <c r="BF63" s="601">
        <v>-311.89999999999998</v>
      </c>
      <c r="BG63" s="62">
        <v>0</v>
      </c>
      <c r="BH63" s="234"/>
      <c r="BI63" s="234"/>
      <c r="BJ63" s="601"/>
    </row>
    <row r="64" spans="1:65" ht="20.149999999999999" customHeight="1">
      <c r="A64" s="64" t="s">
        <v>396</v>
      </c>
      <c r="B64" s="610" t="s">
        <v>397</v>
      </c>
      <c r="C64" s="63"/>
      <c r="D64" s="63"/>
      <c r="E64" s="63"/>
      <c r="F64" s="63"/>
      <c r="G64" s="614"/>
      <c r="H64" s="63"/>
      <c r="I64" s="63"/>
      <c r="J64" s="615"/>
      <c r="K64" s="63"/>
      <c r="L64" s="62"/>
      <c r="M64" s="62"/>
      <c r="N64" s="62"/>
      <c r="O64" s="593"/>
      <c r="P64" s="62"/>
      <c r="Q64" s="62"/>
      <c r="R64" s="594"/>
      <c r="S64" s="62">
        <v>-262.10000000000002</v>
      </c>
      <c r="T64" s="62">
        <v>-262.10000000000002</v>
      </c>
      <c r="U64" s="62">
        <v>-262.10000000000002</v>
      </c>
      <c r="V64" s="62">
        <v>-262.10000000000002</v>
      </c>
      <c r="W64" s="593">
        <v>0</v>
      </c>
      <c r="X64" s="62">
        <v>-58.7</v>
      </c>
      <c r="Y64" s="62">
        <v>-58.7</v>
      </c>
      <c r="Z64" s="594">
        <v>-58.7</v>
      </c>
      <c r="AA64" s="62">
        <v>0</v>
      </c>
      <c r="AB64" s="62">
        <v>0</v>
      </c>
      <c r="AC64" s="62">
        <v>0</v>
      </c>
      <c r="AD64" s="62">
        <v>0</v>
      </c>
      <c r="AE64" s="593">
        <v>0</v>
      </c>
      <c r="AF64" s="62">
        <v>0</v>
      </c>
      <c r="AG64" s="62">
        <v>0</v>
      </c>
      <c r="AH64" s="594">
        <v>0</v>
      </c>
      <c r="AI64" s="62">
        <v>0</v>
      </c>
      <c r="AJ64" s="62">
        <v>0</v>
      </c>
      <c r="AK64" s="62">
        <v>0</v>
      </c>
      <c r="AL64" s="62">
        <v>0</v>
      </c>
      <c r="AM64" s="593">
        <v>0</v>
      </c>
      <c r="AN64" s="62">
        <v>0</v>
      </c>
      <c r="AO64" s="62">
        <v>0</v>
      </c>
      <c r="AP64" s="594">
        <v>0</v>
      </c>
      <c r="AQ64" s="62">
        <v>0</v>
      </c>
      <c r="AR64" s="62">
        <v>0</v>
      </c>
      <c r="AS64" s="62">
        <v>0</v>
      </c>
      <c r="AT64" s="594">
        <v>0</v>
      </c>
      <c r="AU64" s="62">
        <v>0</v>
      </c>
      <c r="AV64" s="62">
        <v>0</v>
      </c>
      <c r="AW64" s="62">
        <v>0</v>
      </c>
      <c r="AX64" s="594">
        <v>0</v>
      </c>
      <c r="AY64" s="62">
        <v>0</v>
      </c>
      <c r="AZ64" s="62">
        <v>0</v>
      </c>
      <c r="BA64" s="62">
        <v>0</v>
      </c>
      <c r="BB64" s="594">
        <v>0</v>
      </c>
      <c r="BC64" s="62">
        <v>0</v>
      </c>
      <c r="BD64" s="62">
        <v>0</v>
      </c>
      <c r="BE64" s="62">
        <v>0</v>
      </c>
      <c r="BF64" s="594">
        <v>0</v>
      </c>
      <c r="BG64" s="62">
        <v>0</v>
      </c>
      <c r="BH64" s="62"/>
      <c r="BI64" s="62"/>
      <c r="BJ64" s="594"/>
    </row>
    <row r="65" spans="1:64" ht="25.5" customHeight="1">
      <c r="A65" s="64" t="s">
        <v>398</v>
      </c>
      <c r="B65" s="610" t="s">
        <v>399</v>
      </c>
      <c r="C65" s="63"/>
      <c r="D65" s="63"/>
      <c r="E65" s="63"/>
      <c r="F65" s="63"/>
      <c r="G65" s="614"/>
      <c r="H65" s="63"/>
      <c r="I65" s="63"/>
      <c r="J65" s="615"/>
      <c r="K65" s="63"/>
      <c r="L65" s="62"/>
      <c r="M65" s="62"/>
      <c r="N65" s="62"/>
      <c r="O65" s="593"/>
      <c r="P65" s="62"/>
      <c r="Q65" s="62"/>
      <c r="R65" s="594"/>
      <c r="S65" s="62">
        <v>175.4</v>
      </c>
      <c r="T65" s="62">
        <v>175.4</v>
      </c>
      <c r="U65" s="62">
        <v>175.4</v>
      </c>
      <c r="V65" s="62">
        <v>175.4</v>
      </c>
      <c r="W65" s="593">
        <v>0</v>
      </c>
      <c r="X65" s="62">
        <v>0</v>
      </c>
      <c r="Y65" s="62">
        <v>0</v>
      </c>
      <c r="Z65" s="594">
        <v>0</v>
      </c>
      <c r="AA65" s="62">
        <v>0</v>
      </c>
      <c r="AB65" s="62">
        <v>0</v>
      </c>
      <c r="AC65" s="62">
        <v>0</v>
      </c>
      <c r="AD65" s="62">
        <v>0</v>
      </c>
      <c r="AE65" s="593">
        <v>0</v>
      </c>
      <c r="AF65" s="62">
        <v>0</v>
      </c>
      <c r="AG65" s="62">
        <v>0</v>
      </c>
      <c r="AH65" s="594">
        <v>0</v>
      </c>
      <c r="AI65" s="62">
        <v>0</v>
      </c>
      <c r="AJ65" s="62">
        <v>0</v>
      </c>
      <c r="AK65" s="62">
        <v>0</v>
      </c>
      <c r="AL65" s="62">
        <v>0</v>
      </c>
      <c r="AM65" s="593">
        <v>0</v>
      </c>
      <c r="AN65" s="62">
        <v>0</v>
      </c>
      <c r="AO65" s="62">
        <v>0</v>
      </c>
      <c r="AP65" s="594">
        <v>0</v>
      </c>
      <c r="AQ65" s="62">
        <v>0</v>
      </c>
      <c r="AR65" s="62">
        <v>0</v>
      </c>
      <c r="AS65" s="62">
        <v>0</v>
      </c>
      <c r="AT65" s="594">
        <v>0</v>
      </c>
      <c r="AU65" s="62">
        <v>0</v>
      </c>
      <c r="AV65" s="62">
        <v>0</v>
      </c>
      <c r="AW65" s="62">
        <v>0</v>
      </c>
      <c r="AX65" s="594">
        <v>0</v>
      </c>
      <c r="AY65" s="62">
        <v>0</v>
      </c>
      <c r="AZ65" s="62">
        <v>0</v>
      </c>
      <c r="BA65" s="62">
        <v>0</v>
      </c>
      <c r="BB65" s="594">
        <v>0</v>
      </c>
      <c r="BC65" s="62">
        <v>0</v>
      </c>
      <c r="BD65" s="62">
        <v>0</v>
      </c>
      <c r="BE65" s="62">
        <v>0</v>
      </c>
      <c r="BF65" s="594">
        <v>0</v>
      </c>
      <c r="BG65" s="62">
        <v>0</v>
      </c>
      <c r="BH65" s="62"/>
      <c r="BI65" s="62"/>
      <c r="BJ65" s="594"/>
    </row>
    <row r="66" spans="1:64" s="91" customFormat="1" ht="27">
      <c r="A66" s="172" t="s">
        <v>400</v>
      </c>
      <c r="B66" s="611" t="s">
        <v>401</v>
      </c>
      <c r="C66" s="234">
        <v>-26.132999999999999</v>
      </c>
      <c r="D66" s="234">
        <f>(-103258-821)*0.001</f>
        <v>-104.07900000000001</v>
      </c>
      <c r="E66" s="234">
        <f>(-125824-2250)*0.001</f>
        <v>-128.07400000000001</v>
      </c>
      <c r="F66" s="234">
        <f>(-195934-3683)*0.001</f>
        <v>-199.61699999999999</v>
      </c>
      <c r="G66" s="600">
        <f>(-15811-1035)*0.001</f>
        <v>-16.846</v>
      </c>
      <c r="H66" s="234">
        <f>(-84439-1241)*0.001</f>
        <v>-85.68</v>
      </c>
      <c r="I66" s="234">
        <f>(-96215-1689)*0.001</f>
        <v>-97.903999999999996</v>
      </c>
      <c r="J66" s="601">
        <v>-165.017</v>
      </c>
      <c r="K66" s="234">
        <v>-9.0950000000000006</v>
      </c>
      <c r="L66" s="234">
        <v>-348.3</v>
      </c>
      <c r="M66" s="234">
        <v>-733.5</v>
      </c>
      <c r="N66" s="234">
        <v>-872.2</v>
      </c>
      <c r="O66" s="600">
        <v>-357.9</v>
      </c>
      <c r="P66" s="234">
        <v>-472.3</v>
      </c>
      <c r="Q66" s="234">
        <v>-804.1</v>
      </c>
      <c r="R66" s="601">
        <v>-978.9</v>
      </c>
      <c r="S66" s="234">
        <v>-383.2</v>
      </c>
      <c r="T66" s="234">
        <v>-507.9</v>
      </c>
      <c r="U66" s="234">
        <v>-631.70000000000005</v>
      </c>
      <c r="V66" s="234">
        <v>-729.6</v>
      </c>
      <c r="W66" s="600">
        <v>-112.5</v>
      </c>
      <c r="X66" s="234">
        <v>-206</v>
      </c>
      <c r="Y66" s="234">
        <v>-319.60000000000002</v>
      </c>
      <c r="Z66" s="601">
        <v>-409.9</v>
      </c>
      <c r="AA66" s="234">
        <v>-138</v>
      </c>
      <c r="AB66" s="234">
        <v>-230.9</v>
      </c>
      <c r="AC66" s="234">
        <v>-342.8</v>
      </c>
      <c r="AD66" s="234">
        <v>-419</v>
      </c>
      <c r="AE66" s="600">
        <v>-107.1</v>
      </c>
      <c r="AF66" s="234">
        <v>-205.5</v>
      </c>
      <c r="AG66" s="234">
        <v>-362</v>
      </c>
      <c r="AH66" s="601">
        <v>-465.4</v>
      </c>
      <c r="AI66" s="234">
        <v>-107.1</v>
      </c>
      <c r="AJ66" s="234">
        <v>-205.5</v>
      </c>
      <c r="AK66" s="234">
        <v>-362</v>
      </c>
      <c r="AL66" s="234">
        <v>-465.4</v>
      </c>
      <c r="AM66" s="600">
        <v>-84.6</v>
      </c>
      <c r="AN66" s="234">
        <f>-193.4</f>
        <v>-193.4</v>
      </c>
      <c r="AO66" s="234">
        <v>-256.2</v>
      </c>
      <c r="AP66" s="601">
        <v>-315.3</v>
      </c>
      <c r="AQ66" s="234">
        <v>-54.8</v>
      </c>
      <c r="AR66" s="234">
        <v>-111.3</v>
      </c>
      <c r="AS66" s="234">
        <v>-163.9</v>
      </c>
      <c r="AT66" s="601">
        <v>-213.3</v>
      </c>
      <c r="AU66" s="234">
        <v>-79.8</v>
      </c>
      <c r="AV66" s="234">
        <v>-217.6</v>
      </c>
      <c r="AW66" s="234">
        <v>-390.9</v>
      </c>
      <c r="AX66" s="601">
        <v>-616.9</v>
      </c>
      <c r="AY66" s="234">
        <v>-219.4</v>
      </c>
      <c r="AZ66" s="234">
        <v>-501.3</v>
      </c>
      <c r="BA66" s="234">
        <v>-942.3</v>
      </c>
      <c r="BB66" s="601">
        <v>-1203.3</v>
      </c>
      <c r="BC66" s="234">
        <v>-398.7</v>
      </c>
      <c r="BD66" s="234">
        <v>-607.29999999999995</v>
      </c>
      <c r="BE66" s="234">
        <v>-1000.9</v>
      </c>
      <c r="BF66" s="601">
        <v>-1200.4000000000001</v>
      </c>
      <c r="BG66" s="234">
        <v>-375.2</v>
      </c>
      <c r="BH66" s="234"/>
      <c r="BI66" s="234"/>
      <c r="BJ66" s="601"/>
      <c r="BL66" s="948"/>
    </row>
    <row r="67" spans="1:64" ht="20.149999999999999" customHeight="1">
      <c r="A67" s="64" t="s">
        <v>402</v>
      </c>
      <c r="B67" s="610" t="s">
        <v>403</v>
      </c>
      <c r="C67" s="62"/>
      <c r="D67" s="62"/>
      <c r="E67" s="62"/>
      <c r="F67" s="62"/>
      <c r="G67" s="593"/>
      <c r="H67" s="62"/>
      <c r="I67" s="62"/>
      <c r="J67" s="594"/>
      <c r="K67" s="62"/>
      <c r="L67" s="62"/>
      <c r="M67" s="62"/>
      <c r="N67" s="62"/>
      <c r="O67" s="593"/>
      <c r="P67" s="62"/>
      <c r="Q67" s="62"/>
      <c r="R67" s="594"/>
      <c r="S67" s="62"/>
      <c r="T67" s="62"/>
      <c r="U67" s="62"/>
      <c r="V67" s="62"/>
      <c r="W67" s="593"/>
      <c r="X67" s="62"/>
      <c r="Y67" s="62"/>
      <c r="Z67" s="594"/>
      <c r="AA67" s="62"/>
      <c r="AB67" s="62"/>
      <c r="AC67" s="62"/>
      <c r="AD67" s="62"/>
      <c r="AE67" s="593">
        <v>-0.2</v>
      </c>
      <c r="AF67" s="62">
        <v>-0.4</v>
      </c>
      <c r="AG67" s="62">
        <v>-0.6</v>
      </c>
      <c r="AH67" s="594">
        <v>-0.8</v>
      </c>
      <c r="AI67" s="62">
        <v>-7.8</v>
      </c>
      <c r="AJ67" s="62">
        <v>-18.8</v>
      </c>
      <c r="AK67" s="62">
        <v>-28.6</v>
      </c>
      <c r="AL67" s="62">
        <v>-47.6</v>
      </c>
      <c r="AM67" s="593">
        <v>-12.4</v>
      </c>
      <c r="AN67" s="62">
        <v>-21.1</v>
      </c>
      <c r="AO67" s="62">
        <v>-35.1</v>
      </c>
      <c r="AP67" s="594">
        <v>-46</v>
      </c>
      <c r="AQ67" s="62">
        <v>-11.4</v>
      </c>
      <c r="AR67" s="62">
        <v>-21</v>
      </c>
      <c r="AS67" s="62">
        <v>-27.6</v>
      </c>
      <c r="AT67" s="594">
        <v>-32.4</v>
      </c>
      <c r="AU67" s="62">
        <v>-5.4</v>
      </c>
      <c r="AV67" s="62">
        <v>-10.3</v>
      </c>
      <c r="AW67" s="62">
        <v>-15.1</v>
      </c>
      <c r="AX67" s="594">
        <v>-20.2</v>
      </c>
      <c r="AY67" s="62">
        <v>-6.3</v>
      </c>
      <c r="AZ67" s="62">
        <v>-12.9</v>
      </c>
      <c r="BA67" s="234">
        <v>-19.600000000000001</v>
      </c>
      <c r="BB67" s="601">
        <v>-27.4</v>
      </c>
      <c r="BC67" s="62">
        <v>-8.6999999999999993</v>
      </c>
      <c r="BD67" s="62">
        <v>-18.100000000000001</v>
      </c>
      <c r="BE67" s="234">
        <v>-26.6</v>
      </c>
      <c r="BF67" s="601">
        <v>-36</v>
      </c>
      <c r="BG67" s="62">
        <v>-10.3</v>
      </c>
      <c r="BH67" s="62"/>
      <c r="BI67" s="234"/>
      <c r="BJ67" s="601"/>
    </row>
    <row r="68" spans="1:64" ht="20.149999999999999" customHeight="1">
      <c r="A68" s="64" t="s">
        <v>404</v>
      </c>
      <c r="B68" s="610" t="s">
        <v>405</v>
      </c>
      <c r="C68" s="62"/>
      <c r="D68" s="62"/>
      <c r="E68" s="62"/>
      <c r="F68" s="62"/>
      <c r="G68" s="593"/>
      <c r="H68" s="62"/>
      <c r="I68" s="62"/>
      <c r="J68" s="594"/>
      <c r="K68" s="62"/>
      <c r="L68" s="62"/>
      <c r="M68" s="62"/>
      <c r="N68" s="62"/>
      <c r="O68" s="593"/>
      <c r="P68" s="62"/>
      <c r="Q68" s="62"/>
      <c r="R68" s="594"/>
      <c r="S68" s="62"/>
      <c r="T68" s="62"/>
      <c r="U68" s="62"/>
      <c r="V68" s="62"/>
      <c r="W68" s="593"/>
      <c r="X68" s="62"/>
      <c r="Y68" s="62"/>
      <c r="Z68" s="594"/>
      <c r="AA68" s="62"/>
      <c r="AB68" s="62"/>
      <c r="AC68" s="62"/>
      <c r="AD68" s="62"/>
      <c r="AE68" s="593">
        <v>-3.1</v>
      </c>
      <c r="AF68" s="62">
        <v>-6.1</v>
      </c>
      <c r="AG68" s="62">
        <v>-8.9</v>
      </c>
      <c r="AH68" s="594">
        <v>-4.4000000000000004</v>
      </c>
      <c r="AI68" s="62">
        <v>-54.5</v>
      </c>
      <c r="AJ68" s="62">
        <v>-142.69999999999999</v>
      </c>
      <c r="AK68" s="62">
        <v>-234</v>
      </c>
      <c r="AL68" s="62">
        <v>-343.7</v>
      </c>
      <c r="AM68" s="593">
        <v>-106.3</v>
      </c>
      <c r="AN68" s="62">
        <v>-185.7</v>
      </c>
      <c r="AO68" s="62">
        <v>-304.39999999999998</v>
      </c>
      <c r="AP68" s="594">
        <v>-399.2</v>
      </c>
      <c r="AQ68" s="62">
        <v>-119</v>
      </c>
      <c r="AR68" s="62">
        <v>-222</v>
      </c>
      <c r="AS68" s="62">
        <v>-280.89999999999998</v>
      </c>
      <c r="AT68" s="594">
        <v>-335.4</v>
      </c>
      <c r="AU68" s="62">
        <v>-52.9</v>
      </c>
      <c r="AV68" s="62">
        <v>-100.7</v>
      </c>
      <c r="AW68" s="62">
        <v>-151</v>
      </c>
      <c r="AX68" s="594">
        <v>-196.4</v>
      </c>
      <c r="AY68" s="62">
        <v>-57.6</v>
      </c>
      <c r="AZ68" s="62">
        <v>-104.7</v>
      </c>
      <c r="BA68" s="234">
        <v>-150.19999999999999</v>
      </c>
      <c r="BB68" s="601">
        <v>-195.5</v>
      </c>
      <c r="BC68" s="62">
        <v>-61.8</v>
      </c>
      <c r="BD68" s="62">
        <v>-112.8</v>
      </c>
      <c r="BE68" s="234">
        <v>-156.5</v>
      </c>
      <c r="BF68" s="601">
        <v>-210.3</v>
      </c>
      <c r="BG68" s="62">
        <v>-52.7</v>
      </c>
      <c r="BH68" s="62"/>
      <c r="BI68" s="234"/>
      <c r="BJ68" s="601"/>
    </row>
    <row r="69" spans="1:64" ht="20.149999999999999" customHeight="1">
      <c r="A69" s="64" t="s">
        <v>406</v>
      </c>
      <c r="B69" s="610" t="s">
        <v>407</v>
      </c>
      <c r="C69" s="63">
        <v>0</v>
      </c>
      <c r="D69" s="63">
        <v>0</v>
      </c>
      <c r="E69" s="63">
        <v>0</v>
      </c>
      <c r="F69" s="63">
        <v>0</v>
      </c>
      <c r="G69" s="614">
        <v>0</v>
      </c>
      <c r="H69" s="63">
        <v>0</v>
      </c>
      <c r="I69" s="63">
        <v>0</v>
      </c>
      <c r="J69" s="615">
        <v>0</v>
      </c>
      <c r="K69" s="63">
        <v>0</v>
      </c>
      <c r="L69" s="62">
        <v>-102.9</v>
      </c>
      <c r="M69" s="62">
        <v>-102.9</v>
      </c>
      <c r="N69" s="62">
        <v>-102.9</v>
      </c>
      <c r="O69" s="593">
        <v>0</v>
      </c>
      <c r="P69" s="62">
        <v>0</v>
      </c>
      <c r="Q69" s="62">
        <v>0</v>
      </c>
      <c r="R69" s="594">
        <v>0</v>
      </c>
      <c r="S69" s="62">
        <v>0</v>
      </c>
      <c r="T69" s="62">
        <v>0</v>
      </c>
      <c r="U69" s="62">
        <v>0</v>
      </c>
      <c r="V69" s="62">
        <v>0</v>
      </c>
      <c r="W69" s="593">
        <v>0</v>
      </c>
      <c r="X69" s="62">
        <v>0</v>
      </c>
      <c r="Y69" s="62">
        <v>-204.7</v>
      </c>
      <c r="Z69" s="594">
        <v>-204.7</v>
      </c>
      <c r="AA69" s="62">
        <v>0</v>
      </c>
      <c r="AB69" s="62">
        <v>0</v>
      </c>
      <c r="AC69" s="62">
        <v>0</v>
      </c>
      <c r="AD69" s="62">
        <v>0</v>
      </c>
      <c r="AE69" s="593">
        <v>0</v>
      </c>
      <c r="AF69" s="62">
        <v>0</v>
      </c>
      <c r="AG69" s="62">
        <v>-287.8</v>
      </c>
      <c r="AH69" s="594">
        <v>-594.79999999999995</v>
      </c>
      <c r="AI69" s="62">
        <v>0</v>
      </c>
      <c r="AJ69" s="62">
        <v>0</v>
      </c>
      <c r="AK69" s="62">
        <v>-287.8</v>
      </c>
      <c r="AL69" s="62">
        <v>-594.79999999999995</v>
      </c>
      <c r="AM69" s="593">
        <v>0</v>
      </c>
      <c r="AN69" s="62">
        <v>-7.4</v>
      </c>
      <c r="AO69" s="62">
        <v>-7.4</v>
      </c>
      <c r="AP69" s="594">
        <v>-232.5</v>
      </c>
      <c r="AQ69" s="62">
        <v>-415.7</v>
      </c>
      <c r="AR69" s="62">
        <v>-415.7</v>
      </c>
      <c r="AS69" s="62">
        <v>-674.5</v>
      </c>
      <c r="AT69" s="594">
        <v>-1186.2</v>
      </c>
      <c r="AU69" s="62">
        <v>0</v>
      </c>
      <c r="AV69" s="62">
        <v>0</v>
      </c>
      <c r="AW69" s="62">
        <v>0</v>
      </c>
      <c r="AX69" s="594">
        <v>-660.8</v>
      </c>
      <c r="AY69" s="62">
        <v>0</v>
      </c>
      <c r="AZ69" s="62">
        <v>0</v>
      </c>
      <c r="BA69" s="62">
        <v>0</v>
      </c>
      <c r="BB69" s="594">
        <v>0</v>
      </c>
      <c r="BC69" s="62">
        <v>0</v>
      </c>
      <c r="BD69" s="62">
        <v>0</v>
      </c>
      <c r="BE69" s="62">
        <v>0</v>
      </c>
      <c r="BF69" s="594">
        <v>0</v>
      </c>
      <c r="BG69" s="62">
        <v>0</v>
      </c>
      <c r="BH69" s="62"/>
      <c r="BI69" s="62"/>
      <c r="BJ69" s="594"/>
    </row>
    <row r="70" spans="1:64" ht="20.149999999999999" customHeight="1">
      <c r="A70" s="64" t="s">
        <v>408</v>
      </c>
      <c r="B70" s="610" t="s">
        <v>409</v>
      </c>
      <c r="C70" s="63"/>
      <c r="D70" s="63"/>
      <c r="E70" s="63"/>
      <c r="F70" s="63"/>
      <c r="G70" s="614"/>
      <c r="H70" s="63"/>
      <c r="I70" s="63"/>
      <c r="J70" s="615"/>
      <c r="K70" s="63"/>
      <c r="L70" s="62"/>
      <c r="M70" s="62"/>
      <c r="N70" s="62"/>
      <c r="O70" s="593"/>
      <c r="P70" s="62"/>
      <c r="Q70" s="62"/>
      <c r="R70" s="594"/>
      <c r="S70" s="62"/>
      <c r="T70" s="62"/>
      <c r="U70" s="62"/>
      <c r="V70" s="62"/>
      <c r="W70" s="593"/>
      <c r="X70" s="62"/>
      <c r="Y70" s="62"/>
      <c r="Z70" s="594"/>
      <c r="AA70" s="62"/>
      <c r="AB70" s="62"/>
      <c r="AC70" s="62"/>
      <c r="AD70" s="62"/>
      <c r="AE70" s="593"/>
      <c r="AF70" s="62"/>
      <c r="AG70" s="62"/>
      <c r="AH70" s="594"/>
      <c r="AI70" s="62"/>
      <c r="AJ70" s="62"/>
      <c r="AK70" s="62"/>
      <c r="AL70" s="62"/>
      <c r="AM70" s="593"/>
      <c r="AN70" s="62"/>
      <c r="AO70" s="62"/>
      <c r="AP70" s="594"/>
      <c r="AQ70" s="62"/>
      <c r="AR70" s="62"/>
      <c r="AS70" s="62"/>
      <c r="AT70" s="594">
        <v>-2464</v>
      </c>
      <c r="AU70" s="62">
        <v>0</v>
      </c>
      <c r="AV70" s="62">
        <v>-393.9</v>
      </c>
      <c r="AW70" s="62">
        <v>-393.9</v>
      </c>
      <c r="AX70" s="594">
        <v>-393.9</v>
      </c>
      <c r="AY70" s="62">
        <v>0</v>
      </c>
      <c r="AZ70" s="62">
        <v>0</v>
      </c>
      <c r="BA70" s="62">
        <v>0</v>
      </c>
      <c r="BB70" s="594">
        <v>0</v>
      </c>
      <c r="BC70" s="62">
        <v>0</v>
      </c>
      <c r="BD70" s="62">
        <v>0</v>
      </c>
      <c r="BE70" s="62">
        <v>0</v>
      </c>
      <c r="BF70" s="594">
        <v>0</v>
      </c>
      <c r="BG70" s="62">
        <v>0</v>
      </c>
      <c r="BH70" s="62"/>
      <c r="BI70" s="62"/>
      <c r="BJ70" s="594"/>
    </row>
    <row r="71" spans="1:64" ht="20.149999999999999" customHeight="1">
      <c r="A71" s="64" t="s">
        <v>410</v>
      </c>
      <c r="B71" s="610" t="s">
        <v>411</v>
      </c>
      <c r="C71" s="63"/>
      <c r="D71" s="63"/>
      <c r="E71" s="63"/>
      <c r="F71" s="63"/>
      <c r="G71" s="614"/>
      <c r="H71" s="63"/>
      <c r="I71" s="63"/>
      <c r="J71" s="615"/>
      <c r="K71" s="63"/>
      <c r="L71" s="62"/>
      <c r="M71" s="62"/>
      <c r="N71" s="62"/>
      <c r="O71" s="593"/>
      <c r="P71" s="62"/>
      <c r="Q71" s="62"/>
      <c r="R71" s="594"/>
      <c r="S71" s="62"/>
      <c r="T71" s="62">
        <v>-323.60000000000002</v>
      </c>
      <c r="U71" s="62">
        <v>-323.60000000000002</v>
      </c>
      <c r="V71" s="62">
        <v>-323.60000000000002</v>
      </c>
      <c r="W71" s="593">
        <v>0</v>
      </c>
      <c r="X71" s="62">
        <v>0</v>
      </c>
      <c r="Y71" s="62">
        <v>0</v>
      </c>
      <c r="Z71" s="594">
        <v>0</v>
      </c>
      <c r="AA71" s="62">
        <v>0</v>
      </c>
      <c r="AB71" s="62">
        <v>0</v>
      </c>
      <c r="AC71" s="62">
        <v>0</v>
      </c>
      <c r="AD71" s="62">
        <v>0</v>
      </c>
      <c r="AE71" s="593">
        <v>0</v>
      </c>
      <c r="AF71" s="62">
        <v>0</v>
      </c>
      <c r="AG71" s="62">
        <v>0</v>
      </c>
      <c r="AH71" s="594">
        <v>0</v>
      </c>
      <c r="AI71" s="62">
        <v>0</v>
      </c>
      <c r="AJ71" s="62">
        <v>0</v>
      </c>
      <c r="AK71" s="62">
        <v>0</v>
      </c>
      <c r="AL71" s="62">
        <v>0</v>
      </c>
      <c r="AM71" s="593">
        <v>0</v>
      </c>
      <c r="AN71" s="62">
        <v>0</v>
      </c>
      <c r="AO71" s="62">
        <v>0</v>
      </c>
      <c r="AP71" s="594">
        <v>0</v>
      </c>
      <c r="AQ71" s="62">
        <v>0</v>
      </c>
      <c r="AR71" s="62">
        <v>0</v>
      </c>
      <c r="AS71" s="62">
        <v>0</v>
      </c>
      <c r="AT71" s="594">
        <v>0</v>
      </c>
      <c r="AU71" s="62">
        <v>0</v>
      </c>
      <c r="AV71" s="62">
        <v>0</v>
      </c>
      <c r="AW71" s="62">
        <v>0</v>
      </c>
      <c r="AX71" s="594">
        <v>0</v>
      </c>
      <c r="AY71" s="62">
        <v>0</v>
      </c>
      <c r="AZ71" s="62">
        <v>0</v>
      </c>
      <c r="BA71" s="62">
        <v>0</v>
      </c>
      <c r="BB71" s="594">
        <v>0</v>
      </c>
      <c r="BC71" s="62">
        <v>0</v>
      </c>
      <c r="BD71" s="62">
        <v>0</v>
      </c>
      <c r="BE71" s="62">
        <v>0</v>
      </c>
      <c r="BF71" s="594">
        <v>0</v>
      </c>
      <c r="BG71" s="62">
        <v>0</v>
      </c>
      <c r="BH71" s="62"/>
      <c r="BI71" s="62"/>
      <c r="BJ71" s="594"/>
    </row>
    <row r="72" spans="1:64" ht="20.149999999999999" customHeight="1">
      <c r="A72" s="64" t="s">
        <v>791</v>
      </c>
      <c r="B72" s="610" t="s">
        <v>412</v>
      </c>
      <c r="C72" s="62">
        <v>-8.4000000000000005E-2</v>
      </c>
      <c r="D72" s="62">
        <v>-0.23899999999999999</v>
      </c>
      <c r="E72" s="62">
        <v>-0.315</v>
      </c>
      <c r="F72" s="62">
        <v>-0.40600000000000003</v>
      </c>
      <c r="G72" s="593">
        <v>-7.8E-2</v>
      </c>
      <c r="H72" s="62">
        <v>-0.16800000000000001</v>
      </c>
      <c r="I72" s="62">
        <v>-0.25600000000000001</v>
      </c>
      <c r="J72" s="594">
        <v>-0.33</v>
      </c>
      <c r="K72" s="62">
        <v>-6.2E-2</v>
      </c>
      <c r="L72" s="62">
        <v>-0.3</v>
      </c>
      <c r="M72" s="62">
        <v>-0.7</v>
      </c>
      <c r="N72" s="62">
        <v>-0.9</v>
      </c>
      <c r="O72" s="593">
        <v>-2.5</v>
      </c>
      <c r="P72" s="62">
        <v>-3.5</v>
      </c>
      <c r="Q72" s="62">
        <v>-4.5</v>
      </c>
      <c r="R72" s="594">
        <v>-5.6</v>
      </c>
      <c r="S72" s="62">
        <v>-2.1</v>
      </c>
      <c r="T72" s="62">
        <v>-2.7</v>
      </c>
      <c r="U72" s="62">
        <v>-4.4000000000000004</v>
      </c>
      <c r="V72" s="62">
        <v>-6</v>
      </c>
      <c r="W72" s="593">
        <f>-0.3-1.4</f>
        <v>-1.7</v>
      </c>
      <c r="X72" s="62">
        <v>-2.9</v>
      </c>
      <c r="Y72" s="62">
        <v>-4.3</v>
      </c>
      <c r="Z72" s="594">
        <v>-5.2</v>
      </c>
      <c r="AA72" s="62">
        <v>-1.6</v>
      </c>
      <c r="AB72" s="62">
        <v>-3.4</v>
      </c>
      <c r="AC72" s="62">
        <v>-4.8</v>
      </c>
      <c r="AD72" s="62">
        <v>-8.4</v>
      </c>
      <c r="AE72" s="593">
        <v>-0.6</v>
      </c>
      <c r="AF72" s="62">
        <v>-0.4</v>
      </c>
      <c r="AG72" s="62">
        <v>-0.6</v>
      </c>
      <c r="AH72" s="594">
        <v>-0.7</v>
      </c>
      <c r="AI72" s="62">
        <v>-0.6</v>
      </c>
      <c r="AJ72" s="62">
        <v>-0.4</v>
      </c>
      <c r="AK72" s="62">
        <v>-0.6</v>
      </c>
      <c r="AL72" s="62">
        <v>-0.7</v>
      </c>
      <c r="AM72" s="593">
        <v>-4.5</v>
      </c>
      <c r="AN72" s="62">
        <v>-12.7</v>
      </c>
      <c r="AO72" s="62">
        <v>-27.3</v>
      </c>
      <c r="AP72" s="594">
        <v>-40.1</v>
      </c>
      <c r="AQ72" s="62">
        <v>-11.1</v>
      </c>
      <c r="AR72" s="62">
        <v>-19.3</v>
      </c>
      <c r="AS72" s="62">
        <v>-27.2</v>
      </c>
      <c r="AT72" s="594">
        <v>-33.799999999999997</v>
      </c>
      <c r="AU72" s="62">
        <v>-1.5</v>
      </c>
      <c r="AV72" s="62">
        <v>-12.2</v>
      </c>
      <c r="AW72" s="62">
        <v>-16.5</v>
      </c>
      <c r="AX72" s="594">
        <v>-23</v>
      </c>
      <c r="AY72" s="62">
        <v>9.8000000000000007</v>
      </c>
      <c r="AZ72" s="62">
        <v>2.8</v>
      </c>
      <c r="BA72" s="234">
        <v>-1.5</v>
      </c>
      <c r="BB72" s="601">
        <v>-1.8</v>
      </c>
      <c r="BC72" s="62">
        <v>-3.6</v>
      </c>
      <c r="BD72" s="62">
        <v>-6.8</v>
      </c>
      <c r="BE72" s="234">
        <v>-19.600000000000001</v>
      </c>
      <c r="BF72" s="601">
        <v>16.100000000000001</v>
      </c>
      <c r="BG72" s="62">
        <v>-3.7</v>
      </c>
      <c r="BH72" s="62"/>
      <c r="BI72" s="234"/>
      <c r="BJ72" s="601"/>
    </row>
    <row r="73" spans="1:64" ht="14.15">
      <c r="A73" s="64" t="s">
        <v>413</v>
      </c>
      <c r="B73" s="610" t="s">
        <v>414</v>
      </c>
      <c r="C73" s="62"/>
      <c r="D73" s="62"/>
      <c r="E73" s="62"/>
      <c r="F73" s="62"/>
      <c r="G73" s="593"/>
      <c r="H73" s="62"/>
      <c r="I73" s="62"/>
      <c r="J73" s="594"/>
      <c r="K73" s="62"/>
      <c r="L73" s="62"/>
      <c r="M73" s="62"/>
      <c r="N73" s="62"/>
      <c r="O73" s="593"/>
      <c r="P73" s="62"/>
      <c r="Q73" s="62"/>
      <c r="R73" s="594"/>
      <c r="S73" s="62"/>
      <c r="T73" s="62"/>
      <c r="U73" s="62"/>
      <c r="V73" s="62"/>
      <c r="W73" s="593"/>
      <c r="X73" s="62"/>
      <c r="Y73" s="62"/>
      <c r="Z73" s="594"/>
      <c r="AA73" s="62"/>
      <c r="AB73" s="62"/>
      <c r="AC73" s="62"/>
      <c r="AD73" s="62"/>
      <c r="AE73" s="593"/>
      <c r="AF73" s="62"/>
      <c r="AG73" s="62"/>
      <c r="AH73" s="594"/>
      <c r="AI73" s="62"/>
      <c r="AJ73" s="62"/>
      <c r="AK73" s="62"/>
      <c r="AL73" s="62"/>
      <c r="AM73" s="593"/>
      <c r="AN73" s="62"/>
      <c r="AO73" s="62"/>
      <c r="AP73" s="594"/>
      <c r="AQ73" s="62"/>
      <c r="AR73" s="62"/>
      <c r="AS73" s="62"/>
      <c r="AT73" s="594"/>
      <c r="AU73" s="62">
        <v>7.4</v>
      </c>
      <c r="AV73" s="62">
        <v>31.9</v>
      </c>
      <c r="AW73" s="62">
        <v>75.7</v>
      </c>
      <c r="AX73" s="594">
        <v>109.4</v>
      </c>
      <c r="AY73" s="62">
        <v>32.799999999999997</v>
      </c>
      <c r="AZ73" s="62">
        <v>48.4</v>
      </c>
      <c r="BA73" s="234">
        <v>56.5</v>
      </c>
      <c r="BB73" s="601">
        <v>60.8</v>
      </c>
      <c r="BC73" s="62">
        <v>4.5999999999999996</v>
      </c>
      <c r="BD73" s="62">
        <v>8.1999999999999993</v>
      </c>
      <c r="BE73" s="234">
        <v>16</v>
      </c>
      <c r="BF73" s="601">
        <v>24.7</v>
      </c>
      <c r="BG73" s="62">
        <v>5.0999999999999996</v>
      </c>
      <c r="BH73" s="62"/>
      <c r="BI73" s="234"/>
      <c r="BJ73" s="601"/>
    </row>
    <row r="74" spans="1:64" ht="20.149999999999999" customHeight="1">
      <c r="A74" s="64" t="s">
        <v>415</v>
      </c>
      <c r="B74" s="610" t="s">
        <v>416</v>
      </c>
      <c r="C74" s="614">
        <v>0</v>
      </c>
      <c r="D74" s="63">
        <v>0</v>
      </c>
      <c r="E74" s="63">
        <v>0</v>
      </c>
      <c r="F74" s="615">
        <v>0</v>
      </c>
      <c r="G74" s="614">
        <v>0</v>
      </c>
      <c r="H74" s="63">
        <v>0</v>
      </c>
      <c r="I74" s="63">
        <v>0</v>
      </c>
      <c r="J74" s="615">
        <v>0</v>
      </c>
      <c r="K74" s="63">
        <v>0</v>
      </c>
      <c r="L74" s="62">
        <v>-3.8</v>
      </c>
      <c r="M74" s="62">
        <v>-3.9</v>
      </c>
      <c r="N74" s="62">
        <v>-3.9</v>
      </c>
      <c r="O74" s="593">
        <v>0</v>
      </c>
      <c r="P74" s="62">
        <v>0</v>
      </c>
      <c r="Q74" s="62">
        <v>0</v>
      </c>
      <c r="R74" s="594">
        <v>0</v>
      </c>
      <c r="S74" s="62">
        <v>0</v>
      </c>
      <c r="T74" s="62">
        <v>0</v>
      </c>
      <c r="U74" s="62">
        <v>0</v>
      </c>
      <c r="V74" s="62">
        <v>0</v>
      </c>
      <c r="W74" s="593">
        <v>0</v>
      </c>
      <c r="X74" s="62">
        <v>0</v>
      </c>
      <c r="Y74" s="62">
        <v>0</v>
      </c>
      <c r="Z74" s="594">
        <v>0</v>
      </c>
      <c r="AA74" s="62">
        <v>0</v>
      </c>
      <c r="AB74" s="62"/>
      <c r="AC74" s="62">
        <v>0</v>
      </c>
      <c r="AD74" s="62">
        <v>0</v>
      </c>
      <c r="AE74" s="593">
        <v>0</v>
      </c>
      <c r="AF74" s="62">
        <v>0</v>
      </c>
      <c r="AG74" s="62">
        <v>0</v>
      </c>
      <c r="AH74" s="594">
        <v>0</v>
      </c>
      <c r="AI74" s="62">
        <v>0</v>
      </c>
      <c r="AJ74" s="62">
        <v>0</v>
      </c>
      <c r="AK74" s="62">
        <v>0</v>
      </c>
      <c r="AL74" s="62">
        <v>0</v>
      </c>
      <c r="AM74" s="593">
        <v>0</v>
      </c>
      <c r="AN74" s="62">
        <v>0</v>
      </c>
      <c r="AO74" s="62">
        <v>0</v>
      </c>
      <c r="AP74" s="594">
        <v>0</v>
      </c>
      <c r="AQ74" s="62">
        <v>0</v>
      </c>
      <c r="AR74" s="62">
        <v>0</v>
      </c>
      <c r="AS74" s="62">
        <v>0</v>
      </c>
      <c r="AT74" s="594"/>
      <c r="AU74" s="62">
        <v>0</v>
      </c>
      <c r="AV74" s="62">
        <v>0</v>
      </c>
      <c r="AW74" s="62">
        <v>0</v>
      </c>
      <c r="AX74" s="594">
        <v>0</v>
      </c>
      <c r="AY74" s="62">
        <v>0</v>
      </c>
      <c r="AZ74" s="62">
        <v>0</v>
      </c>
      <c r="BA74" s="62">
        <v>0</v>
      </c>
      <c r="BB74" s="594">
        <v>0</v>
      </c>
      <c r="BC74" s="62">
        <v>0</v>
      </c>
      <c r="BD74" s="62">
        <v>0</v>
      </c>
      <c r="BE74" s="62">
        <v>0</v>
      </c>
      <c r="BF74" s="594">
        <v>0</v>
      </c>
      <c r="BG74" s="62"/>
      <c r="BH74" s="62"/>
      <c r="BI74" s="62"/>
      <c r="BJ74" s="594"/>
    </row>
    <row r="75" spans="1:64" s="239" customFormat="1" ht="25.2" customHeight="1" thickBot="1">
      <c r="A75" s="359" t="s">
        <v>417</v>
      </c>
      <c r="B75" s="612" t="s">
        <v>418</v>
      </c>
      <c r="C75" s="598">
        <f t="shared" ref="C75:X75" si="20">SUM(C61:C74)</f>
        <v>-52.972000000000001</v>
      </c>
      <c r="D75" s="360">
        <f t="shared" si="20"/>
        <v>-260.08099999999996</v>
      </c>
      <c r="E75" s="360">
        <f t="shared" si="20"/>
        <v>-525.96400000000006</v>
      </c>
      <c r="F75" s="599">
        <f t="shared" si="20"/>
        <v>-653.34699999999998</v>
      </c>
      <c r="G75" s="598">
        <f t="shared" si="20"/>
        <v>-66.737000000000009</v>
      </c>
      <c r="H75" s="360">
        <f t="shared" si="20"/>
        <v>-278.43799999999999</v>
      </c>
      <c r="I75" s="360">
        <f t="shared" si="20"/>
        <v>-464.322</v>
      </c>
      <c r="J75" s="599">
        <f t="shared" si="20"/>
        <v>-596.46400000000006</v>
      </c>
      <c r="K75" s="360">
        <f t="shared" si="20"/>
        <v>-46.550999999999995</v>
      </c>
      <c r="L75" s="360">
        <f t="shared" si="20"/>
        <v>-478.30000000000007</v>
      </c>
      <c r="M75" s="360">
        <f t="shared" si="20"/>
        <v>-1064.0000000000002</v>
      </c>
      <c r="N75" s="360">
        <f t="shared" si="20"/>
        <v>-1542.9000000000003</v>
      </c>
      <c r="O75" s="598">
        <f t="shared" si="20"/>
        <v>-467.4</v>
      </c>
      <c r="P75" s="360">
        <f t="shared" si="20"/>
        <v>-1310</v>
      </c>
      <c r="Q75" s="360">
        <f t="shared" si="20"/>
        <v>-2210.8000000000006</v>
      </c>
      <c r="R75" s="599">
        <f t="shared" si="20"/>
        <v>-2386.7000000000007</v>
      </c>
      <c r="S75" s="360">
        <f t="shared" si="20"/>
        <v>-371.90000000000055</v>
      </c>
      <c r="T75" s="360">
        <f t="shared" si="20"/>
        <v>-1403.6000000000001</v>
      </c>
      <c r="U75" s="360">
        <f t="shared" si="20"/>
        <v>-1737.1000000000004</v>
      </c>
      <c r="V75" s="360">
        <f t="shared" si="20"/>
        <v>-2070.8000000000002</v>
      </c>
      <c r="W75" s="598">
        <f t="shared" si="20"/>
        <v>-348.2</v>
      </c>
      <c r="X75" s="360">
        <f t="shared" si="20"/>
        <v>-1122.3000000000002</v>
      </c>
      <c r="Y75" s="360">
        <f>SUM(Y61:Y74)</f>
        <v>-1676</v>
      </c>
      <c r="Z75" s="599">
        <f>SUM(Z61:Z74)</f>
        <v>-1527.7000000000003</v>
      </c>
      <c r="AA75" s="360">
        <f t="shared" ref="AA75:AD75" si="21">SUM(AA61:AA74)</f>
        <v>-689.6</v>
      </c>
      <c r="AB75" s="360">
        <f t="shared" si="21"/>
        <v>-868.19999999999993</v>
      </c>
      <c r="AC75" s="360">
        <f t="shared" ref="AC75" si="22">SUM(AC61:AC74)</f>
        <v>-790.09999999999991</v>
      </c>
      <c r="AD75" s="360">
        <f t="shared" si="21"/>
        <v>-1074.3000000000002</v>
      </c>
      <c r="AE75" s="598">
        <f t="shared" ref="AE75:AH75" si="23">SUM(AE61:AE74)</f>
        <v>-695.40000000000009</v>
      </c>
      <c r="AF75" s="360">
        <f t="shared" si="23"/>
        <v>-1064</v>
      </c>
      <c r="AG75" s="360">
        <f>SUM(AG61:AG74)</f>
        <v>-1285.8999999999999</v>
      </c>
      <c r="AH75" s="599">
        <f t="shared" si="23"/>
        <v>-798.6</v>
      </c>
      <c r="AI75" s="360">
        <f t="shared" ref="AI75:AJ75" si="24">SUM(AI61:AI74)</f>
        <v>-754.4</v>
      </c>
      <c r="AJ75" s="360">
        <f t="shared" si="24"/>
        <v>-1219</v>
      </c>
      <c r="AK75" s="360">
        <f>SUM(AK61:AK74)</f>
        <v>-1538.9999999999998</v>
      </c>
      <c r="AL75" s="360">
        <f t="shared" ref="AL75" si="25">SUM(AL61:AL74)</f>
        <v>-1184.7</v>
      </c>
      <c r="AM75" s="598">
        <f t="shared" ref="AM75:AN75" si="26">SUM(AM61:AM74)</f>
        <v>-30.000000000000043</v>
      </c>
      <c r="AN75" s="360">
        <f t="shared" si="26"/>
        <v>-243.19999999999996</v>
      </c>
      <c r="AO75" s="360">
        <v>-453.3</v>
      </c>
      <c r="AP75" s="599">
        <f t="shared" ref="AP75:AR75" si="27">SUM(AP61:AP74)</f>
        <v>-856</v>
      </c>
      <c r="AQ75" s="360">
        <f t="shared" si="27"/>
        <v>-612</v>
      </c>
      <c r="AR75" s="360">
        <f t="shared" si="27"/>
        <v>-879.3</v>
      </c>
      <c r="AS75" s="360">
        <f t="shared" ref="AS75" si="28">SUM(AS61:AS74)</f>
        <v>-981.50000000000011</v>
      </c>
      <c r="AT75" s="599">
        <f t="shared" ref="AT75:AW75" si="29">SUM(AT61:AT74)</f>
        <v>-5282.9000000000005</v>
      </c>
      <c r="AU75" s="360">
        <f t="shared" si="29"/>
        <v>-332.2</v>
      </c>
      <c r="AV75" s="360">
        <f t="shared" si="29"/>
        <v>-1340.8</v>
      </c>
      <c r="AW75" s="360">
        <f t="shared" si="29"/>
        <v>-1729.7</v>
      </c>
      <c r="AX75" s="599">
        <f t="shared" ref="AX75:BG75" si="30">SUM(AX61:AX74)</f>
        <v>-2705.7</v>
      </c>
      <c r="AY75" s="360">
        <f t="shared" si="30"/>
        <v>1567.3</v>
      </c>
      <c r="AZ75" s="360">
        <f t="shared" si="30"/>
        <v>2915.5</v>
      </c>
      <c r="BA75" s="360">
        <f t="shared" si="30"/>
        <v>3091.0000000000005</v>
      </c>
      <c r="BB75" s="599">
        <f t="shared" ref="BB75" si="31">SUM(BB61:BB74)</f>
        <v>2336.2000000000003</v>
      </c>
      <c r="BC75" s="360">
        <f t="shared" si="30"/>
        <v>-762.8</v>
      </c>
      <c r="BD75" s="360">
        <f t="shared" si="30"/>
        <v>-987.29999999999984</v>
      </c>
      <c r="BE75" s="360">
        <f t="shared" si="30"/>
        <v>-1536.2999999999997</v>
      </c>
      <c r="BF75" s="599">
        <f t="shared" si="30"/>
        <v>-1882.5</v>
      </c>
      <c r="BG75" s="360">
        <f t="shared" si="30"/>
        <v>-1132.5000000000002</v>
      </c>
      <c r="BH75" s="360"/>
      <c r="BI75" s="360"/>
      <c r="BJ75" s="599"/>
    </row>
    <row r="76" spans="1:64" ht="20.149999999999999" customHeight="1" thickBot="1">
      <c r="A76" s="361" t="s">
        <v>419</v>
      </c>
      <c r="B76" s="609" t="s">
        <v>420</v>
      </c>
      <c r="C76" s="362">
        <f>C41+C60+C75</f>
        <v>146.86399999999998</v>
      </c>
      <c r="D76" s="362">
        <f t="shared" ref="D76:AN76" si="32">D75+D60+D41</f>
        <v>33.256000000000029</v>
      </c>
      <c r="E76" s="362">
        <f t="shared" si="32"/>
        <v>-51.083999999999946</v>
      </c>
      <c r="F76" s="363">
        <f t="shared" si="32"/>
        <v>-5.4109999999999445</v>
      </c>
      <c r="G76" s="591">
        <f t="shared" si="32"/>
        <v>53.822999999999979</v>
      </c>
      <c r="H76" s="363">
        <f t="shared" si="32"/>
        <v>-5.0790000000000077</v>
      </c>
      <c r="I76" s="363">
        <f t="shared" si="32"/>
        <v>-55.118000000000166</v>
      </c>
      <c r="J76" s="592">
        <f t="shared" si="32"/>
        <v>72.357999999999834</v>
      </c>
      <c r="K76" s="363">
        <f t="shared" si="32"/>
        <v>85.956000000000017</v>
      </c>
      <c r="L76" s="363">
        <f t="shared" si="32"/>
        <v>1565.3999999999999</v>
      </c>
      <c r="M76" s="363">
        <f t="shared" si="32"/>
        <v>1300.0999999999999</v>
      </c>
      <c r="N76" s="363">
        <f t="shared" si="32"/>
        <v>1403.7999999999997</v>
      </c>
      <c r="O76" s="591">
        <f t="shared" si="32"/>
        <v>-257.89999999999981</v>
      </c>
      <c r="P76" s="363">
        <f t="shared" si="32"/>
        <v>-353.30000000000041</v>
      </c>
      <c r="Q76" s="363">
        <f t="shared" si="32"/>
        <v>-677.30000000000109</v>
      </c>
      <c r="R76" s="592">
        <f t="shared" si="32"/>
        <v>-225.60000000000127</v>
      </c>
      <c r="S76" s="363">
        <f t="shared" si="32"/>
        <v>49.999999999999602</v>
      </c>
      <c r="T76" s="363">
        <f t="shared" si="32"/>
        <v>-568.70000000000005</v>
      </c>
      <c r="U76" s="363">
        <f t="shared" si="32"/>
        <v>-411.39999999999918</v>
      </c>
      <c r="V76" s="363">
        <f t="shared" si="32"/>
        <v>-189.5</v>
      </c>
      <c r="W76" s="591">
        <f t="shared" si="32"/>
        <v>244.3000000000003</v>
      </c>
      <c r="X76" s="363">
        <f t="shared" si="32"/>
        <v>29.599999999999909</v>
      </c>
      <c r="Y76" s="363">
        <f t="shared" si="32"/>
        <v>-245.50000000000045</v>
      </c>
      <c r="Z76" s="592">
        <f t="shared" si="32"/>
        <v>-159.59999999999945</v>
      </c>
      <c r="AA76" s="363">
        <f t="shared" si="32"/>
        <v>-374.99999999999989</v>
      </c>
      <c r="AB76" s="363">
        <f t="shared" si="32"/>
        <v>-285.70000000000005</v>
      </c>
      <c r="AC76" s="363">
        <f t="shared" si="32"/>
        <v>-11.199999999999818</v>
      </c>
      <c r="AD76" s="363">
        <f t="shared" si="32"/>
        <v>5.2999999999997272</v>
      </c>
      <c r="AE76" s="591">
        <f t="shared" si="32"/>
        <v>-420.69999999999993</v>
      </c>
      <c r="AF76" s="363">
        <f t="shared" si="32"/>
        <v>-392.89999999999986</v>
      </c>
      <c r="AG76" s="363">
        <f t="shared" si="32"/>
        <v>-294.79999999999927</v>
      </c>
      <c r="AH76" s="592">
        <f t="shared" si="32"/>
        <v>-426.40000000000055</v>
      </c>
      <c r="AI76" s="363">
        <f t="shared" si="32"/>
        <v>-420.69999999999993</v>
      </c>
      <c r="AJ76" s="363">
        <f t="shared" si="32"/>
        <v>-392.89999999999986</v>
      </c>
      <c r="AK76" s="363">
        <f t="shared" si="32"/>
        <v>-294.79999999999882</v>
      </c>
      <c r="AL76" s="363">
        <f t="shared" si="32"/>
        <v>-426.40000000000146</v>
      </c>
      <c r="AM76" s="591">
        <f t="shared" si="32"/>
        <v>384.78882651999987</v>
      </c>
      <c r="AN76" s="363">
        <f t="shared" si="32"/>
        <v>565.90000000000055</v>
      </c>
      <c r="AO76" s="363">
        <v>408.8</v>
      </c>
      <c r="AP76" s="592">
        <f t="shared" ref="AP76:AX76" si="33">AP75+AP60+AP41</f>
        <v>609.39999999999918</v>
      </c>
      <c r="AQ76" s="363">
        <f t="shared" si="33"/>
        <v>-97.199999999999932</v>
      </c>
      <c r="AR76" s="363">
        <f t="shared" si="33"/>
        <v>-599.79999999999995</v>
      </c>
      <c r="AS76" s="363">
        <f t="shared" si="33"/>
        <v>6107.2000000000007</v>
      </c>
      <c r="AT76" s="592">
        <f t="shared" si="33"/>
        <v>2279.2999999999979</v>
      </c>
      <c r="AU76" s="363">
        <f>AU75+AU60+AU41</f>
        <v>-288.1999999999997</v>
      </c>
      <c r="AV76" s="363">
        <f t="shared" si="33"/>
        <v>-2577.6</v>
      </c>
      <c r="AW76" s="363">
        <f t="shared" si="33"/>
        <v>-2041.9999999999998</v>
      </c>
      <c r="AX76" s="592">
        <f t="shared" si="33"/>
        <v>-2820.6000000000004</v>
      </c>
      <c r="AY76" s="363">
        <f>AY75+AY60+AY41</f>
        <v>655.80000000000064</v>
      </c>
      <c r="AZ76" s="363">
        <f t="shared" ref="AZ76:BF76" si="34">AZ75+AZ60+AZ41</f>
        <v>2673.2999999999993</v>
      </c>
      <c r="BA76" s="363">
        <f t="shared" si="34"/>
        <v>3324.6</v>
      </c>
      <c r="BB76" s="592">
        <f t="shared" si="34"/>
        <v>2512.8999999999992</v>
      </c>
      <c r="BC76" s="363">
        <f>BC75+BC60+BC41</f>
        <v>-596.79999999999995</v>
      </c>
      <c r="BD76" s="363">
        <f t="shared" si="34"/>
        <v>-243.5</v>
      </c>
      <c r="BE76" s="363">
        <f t="shared" si="34"/>
        <v>-215.60000000000036</v>
      </c>
      <c r="BF76" s="592">
        <f t="shared" si="34"/>
        <v>-629.33999999999969</v>
      </c>
      <c r="BG76" s="363">
        <f>BG75+BG60+BG41</f>
        <v>-421.5</v>
      </c>
      <c r="BH76" s="363"/>
      <c r="BI76" s="363"/>
      <c r="BJ76" s="592"/>
    </row>
    <row r="77" spans="1:64" ht="20.149999999999999" customHeight="1">
      <c r="A77" s="237" t="s">
        <v>421</v>
      </c>
      <c r="B77" s="613" t="s">
        <v>422</v>
      </c>
      <c r="C77" s="238">
        <v>277.53399999999999</v>
      </c>
      <c r="D77" s="238">
        <v>277.53399999999999</v>
      </c>
      <c r="E77" s="238">
        <v>277.53399999999999</v>
      </c>
      <c r="F77" s="238">
        <v>277.53399999999999</v>
      </c>
      <c r="G77" s="604">
        <v>270.35399999999998</v>
      </c>
      <c r="H77" s="238">
        <v>270.35399999999998</v>
      </c>
      <c r="I77" s="238">
        <v>270.35399999999998</v>
      </c>
      <c r="J77" s="605">
        <v>270.35399999999998</v>
      </c>
      <c r="K77" s="238">
        <v>342.25100000000003</v>
      </c>
      <c r="L77" s="238">
        <v>342.2</v>
      </c>
      <c r="M77" s="238">
        <v>342.2</v>
      </c>
      <c r="N77" s="238">
        <v>342.2</v>
      </c>
      <c r="O77" s="604">
        <v>1747.9</v>
      </c>
      <c r="P77" s="238">
        <v>1747.9</v>
      </c>
      <c r="Q77" s="238">
        <v>1747.9</v>
      </c>
      <c r="R77" s="605">
        <v>1747.9</v>
      </c>
      <c r="S77" s="238">
        <f>$R$80</f>
        <v>1523.6999999999989</v>
      </c>
      <c r="T77" s="238">
        <f t="shared" ref="T77:V77" si="35">$R$80</f>
        <v>1523.6999999999989</v>
      </c>
      <c r="U77" s="238">
        <f t="shared" si="35"/>
        <v>1523.6999999999989</v>
      </c>
      <c r="V77" s="238">
        <f t="shared" si="35"/>
        <v>1523.6999999999989</v>
      </c>
      <c r="W77" s="604">
        <f>V80</f>
        <v>1336.6999999999989</v>
      </c>
      <c r="X77" s="238">
        <f>V80</f>
        <v>1336.6999999999989</v>
      </c>
      <c r="Y77" s="238">
        <f>V80</f>
        <v>1336.6999999999989</v>
      </c>
      <c r="Z77" s="605">
        <f>Y77</f>
        <v>1336.6999999999989</v>
      </c>
      <c r="AA77" s="238">
        <f>Z80</f>
        <v>1171.9999999999995</v>
      </c>
      <c r="AB77" s="238">
        <f>Z80</f>
        <v>1171.9999999999995</v>
      </c>
      <c r="AC77" s="238">
        <f>Z80</f>
        <v>1171.9999999999995</v>
      </c>
      <c r="AD77" s="238">
        <f>AC77</f>
        <v>1171.9999999999995</v>
      </c>
      <c r="AE77" s="604">
        <v>1178.7</v>
      </c>
      <c r="AF77" s="238">
        <f>AD80</f>
        <v>1178.6999999999994</v>
      </c>
      <c r="AG77" s="238">
        <f>AD80</f>
        <v>1178.6999999999994</v>
      </c>
      <c r="AH77" s="605">
        <f>AD80</f>
        <v>1178.6999999999994</v>
      </c>
      <c r="AI77" s="238">
        <v>1178.7</v>
      </c>
      <c r="AJ77" s="238">
        <f>AD80</f>
        <v>1178.6999999999994</v>
      </c>
      <c r="AK77" s="238">
        <f>AD80</f>
        <v>1178.6999999999994</v>
      </c>
      <c r="AL77" s="238">
        <f>AD80</f>
        <v>1178.6999999999994</v>
      </c>
      <c r="AM77" s="604">
        <f>AL80</f>
        <v>753.09999999999786</v>
      </c>
      <c r="AN77" s="238">
        <v>753.1</v>
      </c>
      <c r="AO77" s="238">
        <v>753.1</v>
      </c>
      <c r="AP77" s="605">
        <v>753.1</v>
      </c>
      <c r="AQ77" s="238">
        <f>$AP$80</f>
        <v>1365.799999999999</v>
      </c>
      <c r="AR77" s="238">
        <f t="shared" ref="AR77:AT77" si="36">$AP$80</f>
        <v>1365.799999999999</v>
      </c>
      <c r="AS77" s="238">
        <f t="shared" si="36"/>
        <v>1365.799999999999</v>
      </c>
      <c r="AT77" s="605">
        <f t="shared" si="36"/>
        <v>1365.799999999999</v>
      </c>
      <c r="AU77" s="238">
        <f>$AT$80</f>
        <v>3644.2999999999965</v>
      </c>
      <c r="AV77" s="238">
        <f>$AT$80</f>
        <v>3644.2999999999965</v>
      </c>
      <c r="AW77" s="238">
        <f>$AT$80</f>
        <v>3644.2999999999965</v>
      </c>
      <c r="AX77" s="662">
        <f>$AT$80</f>
        <v>3644.2999999999965</v>
      </c>
      <c r="AY77" s="238">
        <f>$AX$80</f>
        <v>817.7999999999962</v>
      </c>
      <c r="AZ77" s="238">
        <f>$AX$80</f>
        <v>817.7999999999962</v>
      </c>
      <c r="BA77" s="238">
        <f>$AX$80</f>
        <v>817.7999999999962</v>
      </c>
      <c r="BB77" s="662">
        <v>817.8</v>
      </c>
      <c r="BC77" s="238">
        <f>$BB$80</f>
        <v>3325.6999999999989</v>
      </c>
      <c r="BD77" s="238">
        <f>$BB$80</f>
        <v>3325.6999999999989</v>
      </c>
      <c r="BE77" s="238">
        <f t="shared" ref="BE77:BF77" si="37">$BB$80</f>
        <v>3325.6999999999989</v>
      </c>
      <c r="BF77" s="662">
        <f t="shared" si="37"/>
        <v>3325.6999999999989</v>
      </c>
      <c r="BG77" s="238">
        <f>$BF$80</f>
        <v>2687.1038520594993</v>
      </c>
      <c r="BH77" s="238"/>
      <c r="BI77" s="238"/>
      <c r="BJ77" s="662"/>
    </row>
    <row r="78" spans="1:64">
      <c r="A78" s="64" t="s">
        <v>423</v>
      </c>
      <c r="B78" s="610" t="s">
        <v>424</v>
      </c>
      <c r="C78" s="62">
        <v>-2.5009999999999999</v>
      </c>
      <c r="D78" s="62">
        <v>-1.2710000000000001</v>
      </c>
      <c r="E78" s="62">
        <v>-1.339</v>
      </c>
      <c r="F78" s="62">
        <v>-1.7690000000000001</v>
      </c>
      <c r="G78" s="593">
        <v>0.161</v>
      </c>
      <c r="H78" s="62">
        <v>0.52800000000000002</v>
      </c>
      <c r="I78" s="62">
        <v>0.16</v>
      </c>
      <c r="J78" s="594">
        <v>-0.46100000000000002</v>
      </c>
      <c r="K78" s="62">
        <v>-1.7000000000000001E-2</v>
      </c>
      <c r="L78" s="62">
        <v>-0.7</v>
      </c>
      <c r="M78" s="62">
        <v>0.9</v>
      </c>
      <c r="N78" s="62">
        <v>1.9</v>
      </c>
      <c r="O78" s="593">
        <v>1.6</v>
      </c>
      <c r="P78" s="62">
        <v>2</v>
      </c>
      <c r="Q78" s="62">
        <v>1.4</v>
      </c>
      <c r="R78" s="594">
        <v>1.4</v>
      </c>
      <c r="S78" s="62">
        <v>-3.7</v>
      </c>
      <c r="T78" s="62">
        <v>0.4</v>
      </c>
      <c r="U78" s="62">
        <v>-2.1</v>
      </c>
      <c r="V78" s="62">
        <v>2.5</v>
      </c>
      <c r="W78" s="593">
        <v>-3.7</v>
      </c>
      <c r="X78" s="62">
        <v>-3.7</v>
      </c>
      <c r="Y78" s="62">
        <v>-2.8</v>
      </c>
      <c r="Z78" s="594">
        <v>-5.0999999999999996</v>
      </c>
      <c r="AA78" s="62">
        <v>0.5</v>
      </c>
      <c r="AB78" s="62">
        <v>1.5</v>
      </c>
      <c r="AC78" s="62">
        <v>2.2999999999999998</v>
      </c>
      <c r="AD78" s="62">
        <v>1.4</v>
      </c>
      <c r="AE78" s="593">
        <v>-1</v>
      </c>
      <c r="AF78" s="62">
        <v>-2</v>
      </c>
      <c r="AG78" s="62">
        <v>2.2999999999999998</v>
      </c>
      <c r="AH78" s="594">
        <v>0.8</v>
      </c>
      <c r="AI78" s="62">
        <v>-1</v>
      </c>
      <c r="AJ78" s="62">
        <v>-2</v>
      </c>
      <c r="AK78" s="62">
        <v>2.2999999999999998</v>
      </c>
      <c r="AL78" s="62">
        <v>0.8</v>
      </c>
      <c r="AM78" s="593">
        <v>2.9</v>
      </c>
      <c r="AN78" s="62">
        <v>1.5</v>
      </c>
      <c r="AO78" s="62">
        <v>2.2999999999999998</v>
      </c>
      <c r="AP78" s="594">
        <v>3.3</v>
      </c>
      <c r="AQ78" s="62">
        <v>-1.3</v>
      </c>
      <c r="AR78" s="62">
        <v>-2</v>
      </c>
      <c r="AS78" s="62">
        <v>-0.7</v>
      </c>
      <c r="AT78" s="594">
        <v>-0.8</v>
      </c>
      <c r="AU78" s="62">
        <v>-2.4</v>
      </c>
      <c r="AV78" s="62">
        <v>-4.7</v>
      </c>
      <c r="AW78" s="62">
        <v>-6.2</v>
      </c>
      <c r="AX78" s="594">
        <v>-5.9</v>
      </c>
      <c r="AY78" s="62">
        <v>-0.2</v>
      </c>
      <c r="AZ78" s="62">
        <v>-12.6</v>
      </c>
      <c r="BA78" s="62">
        <v>39.299999999999997</v>
      </c>
      <c r="BB78" s="594">
        <v>-3.8</v>
      </c>
      <c r="BC78" s="62">
        <v>-9.6999999999999993</v>
      </c>
      <c r="BD78" s="62">
        <v>-5.4</v>
      </c>
      <c r="BE78" s="62">
        <v>-12.5</v>
      </c>
      <c r="BF78" s="594">
        <v>-9.2561479405000018</v>
      </c>
      <c r="BG78" s="62">
        <v>-10.7</v>
      </c>
      <c r="BH78" s="62"/>
      <c r="BI78" s="62"/>
      <c r="BJ78" s="594"/>
    </row>
    <row r="79" spans="1:64" ht="20.149999999999999" customHeight="1">
      <c r="A79" s="64" t="s">
        <v>425</v>
      </c>
      <c r="B79" s="610" t="s">
        <v>426</v>
      </c>
      <c r="C79" s="62"/>
      <c r="D79" s="62"/>
      <c r="E79" s="62"/>
      <c r="F79" s="62"/>
      <c r="G79" s="593"/>
      <c r="H79" s="62"/>
      <c r="I79" s="62"/>
      <c r="J79" s="594"/>
      <c r="K79" s="62"/>
      <c r="L79" s="62"/>
      <c r="M79" s="62"/>
      <c r="N79" s="62"/>
      <c r="O79" s="593"/>
      <c r="P79" s="62"/>
      <c r="Q79" s="62"/>
      <c r="R79" s="594"/>
      <c r="S79" s="62"/>
      <c r="T79" s="62"/>
      <c r="U79" s="62"/>
      <c r="V79" s="62"/>
      <c r="W79" s="593"/>
      <c r="X79" s="62"/>
      <c r="Y79" s="62"/>
      <c r="Z79" s="594"/>
      <c r="AA79" s="62"/>
      <c r="AB79" s="62"/>
      <c r="AC79" s="62"/>
      <c r="AD79" s="62"/>
      <c r="AE79" s="593"/>
      <c r="AF79" s="62"/>
      <c r="AG79" s="62"/>
      <c r="AH79" s="594"/>
      <c r="AI79" s="62"/>
      <c r="AJ79" s="62"/>
      <c r="AK79" s="62"/>
      <c r="AL79" s="62"/>
      <c r="AM79" s="593"/>
      <c r="AN79" s="62"/>
      <c r="AO79" s="62"/>
      <c r="AP79" s="594"/>
      <c r="AQ79" s="62">
        <v>-108.5</v>
      </c>
      <c r="AR79" s="62">
        <v>-95.5</v>
      </c>
      <c r="AS79" s="62">
        <v>0</v>
      </c>
      <c r="AT79" s="594">
        <v>0</v>
      </c>
      <c r="AU79" s="62">
        <v>0</v>
      </c>
      <c r="AV79" s="62">
        <v>0</v>
      </c>
      <c r="AW79" s="62">
        <v>0</v>
      </c>
      <c r="AX79" s="594">
        <v>0</v>
      </c>
      <c r="AY79" s="62">
        <v>0</v>
      </c>
      <c r="AZ79" s="62">
        <v>0</v>
      </c>
      <c r="BA79" s="62">
        <v>0</v>
      </c>
      <c r="BB79" s="594">
        <v>-1.2</v>
      </c>
      <c r="BC79" s="62">
        <v>0</v>
      </c>
      <c r="BD79" s="62"/>
      <c r="BE79" s="62"/>
      <c r="BF79" s="594"/>
      <c r="BG79" s="62"/>
      <c r="BH79" s="62"/>
      <c r="BI79" s="62"/>
      <c r="BJ79" s="594"/>
    </row>
    <row r="80" spans="1:64" s="239" customFormat="1" ht="25.2" customHeight="1">
      <c r="A80" s="359" t="s">
        <v>427</v>
      </c>
      <c r="B80" s="612" t="s">
        <v>428</v>
      </c>
      <c r="C80" s="360">
        <f>C76+C77+C78</f>
        <v>421.89699999999999</v>
      </c>
      <c r="D80" s="360">
        <f t="shared" ref="D80:R80" si="38">D77+D76+D78</f>
        <v>309.51900000000001</v>
      </c>
      <c r="E80" s="360">
        <f t="shared" si="38"/>
        <v>225.11100000000005</v>
      </c>
      <c r="F80" s="360">
        <f t="shared" si="38"/>
        <v>270.35400000000004</v>
      </c>
      <c r="G80" s="598">
        <f t="shared" si="38"/>
        <v>324.33799999999997</v>
      </c>
      <c r="H80" s="360">
        <f t="shared" si="38"/>
        <v>265.803</v>
      </c>
      <c r="I80" s="360">
        <f t="shared" si="38"/>
        <v>215.39599999999982</v>
      </c>
      <c r="J80" s="599">
        <f t="shared" si="38"/>
        <v>342.25099999999981</v>
      </c>
      <c r="K80" s="360">
        <f t="shared" si="38"/>
        <v>428.19000000000005</v>
      </c>
      <c r="L80" s="360">
        <f t="shared" si="38"/>
        <v>1906.8999999999999</v>
      </c>
      <c r="M80" s="360">
        <f t="shared" si="38"/>
        <v>1643.2</v>
      </c>
      <c r="N80" s="360">
        <f t="shared" si="38"/>
        <v>1747.8999999999999</v>
      </c>
      <c r="O80" s="598">
        <f t="shared" si="38"/>
        <v>1491.6000000000001</v>
      </c>
      <c r="P80" s="360">
        <f t="shared" si="38"/>
        <v>1396.5999999999997</v>
      </c>
      <c r="Q80" s="360">
        <f t="shared" si="38"/>
        <v>1071.9999999999991</v>
      </c>
      <c r="R80" s="599">
        <f t="shared" si="38"/>
        <v>1523.6999999999989</v>
      </c>
      <c r="S80" s="360">
        <f t="shared" ref="S80:Z80" si="39">S77+S76+S78</f>
        <v>1569.9999999999984</v>
      </c>
      <c r="T80" s="360">
        <f t="shared" si="39"/>
        <v>955.39999999999884</v>
      </c>
      <c r="U80" s="360">
        <f t="shared" si="39"/>
        <v>1110.1999999999998</v>
      </c>
      <c r="V80" s="360">
        <f t="shared" si="39"/>
        <v>1336.6999999999989</v>
      </c>
      <c r="W80" s="598">
        <f t="shared" si="39"/>
        <v>1577.299999999999</v>
      </c>
      <c r="X80" s="360">
        <f t="shared" si="39"/>
        <v>1362.5999999999988</v>
      </c>
      <c r="Y80" s="360">
        <f t="shared" si="39"/>
        <v>1088.3999999999985</v>
      </c>
      <c r="Z80" s="599">
        <f t="shared" si="39"/>
        <v>1171.9999999999995</v>
      </c>
      <c r="AA80" s="360">
        <f t="shared" ref="AA80:AD80" si="40">AA77+AA76+AA78</f>
        <v>797.49999999999966</v>
      </c>
      <c r="AB80" s="360">
        <f t="shared" si="40"/>
        <v>887.7999999999995</v>
      </c>
      <c r="AC80" s="360">
        <f t="shared" si="40"/>
        <v>1163.0999999999997</v>
      </c>
      <c r="AD80" s="360">
        <f t="shared" si="40"/>
        <v>1178.6999999999994</v>
      </c>
      <c r="AE80" s="598">
        <f t="shared" ref="AE80:AH80" si="41">AE77+AE76+AE78</f>
        <v>757.00000000000011</v>
      </c>
      <c r="AF80" s="360">
        <f>AF77+AF76+AF78</f>
        <v>783.7999999999995</v>
      </c>
      <c r="AG80" s="360">
        <f t="shared" si="41"/>
        <v>886.2</v>
      </c>
      <c r="AH80" s="599">
        <f t="shared" si="41"/>
        <v>753.09999999999877</v>
      </c>
      <c r="AI80" s="360">
        <f t="shared" ref="AI80" si="42">AI77+AI76+AI78</f>
        <v>757.00000000000011</v>
      </c>
      <c r="AJ80" s="360">
        <f>AJ77+AJ76+AJ78</f>
        <v>783.7999999999995</v>
      </c>
      <c r="AK80" s="360">
        <f t="shared" ref="AK80:AL80" si="43">AK77+AK76+AK78</f>
        <v>886.2000000000005</v>
      </c>
      <c r="AL80" s="360">
        <f t="shared" si="43"/>
        <v>753.09999999999786</v>
      </c>
      <c r="AM80" s="598">
        <f t="shared" ref="AM80" si="44">AM77+AM76+AM78</f>
        <v>1140.7888265199979</v>
      </c>
      <c r="AN80" s="360">
        <f>AN77+AN76+AN78</f>
        <v>1320.5000000000005</v>
      </c>
      <c r="AO80" s="360">
        <f t="shared" ref="AO80:AP80" si="45">AO77+AO76+AO78</f>
        <v>1164.2</v>
      </c>
      <c r="AP80" s="599">
        <f t="shared" si="45"/>
        <v>1365.799999999999</v>
      </c>
      <c r="AQ80" s="360">
        <f>AQ77+AQ76+AQ78+AQ79</f>
        <v>1158.799999999999</v>
      </c>
      <c r="AR80" s="360">
        <f>AR77+AR76+AR78+AR79</f>
        <v>668.49999999999909</v>
      </c>
      <c r="AS80" s="360">
        <f t="shared" ref="AS80:AT80" si="46">AS77+AS76+AS78</f>
        <v>7472.3</v>
      </c>
      <c r="AT80" s="599">
        <f t="shared" si="46"/>
        <v>3644.2999999999965</v>
      </c>
      <c r="AU80" s="360">
        <f>AU77+AU76+AU78+AU79</f>
        <v>3353.6999999999966</v>
      </c>
      <c r="AV80" s="360">
        <f>AV77+AV76+AV78+AV79</f>
        <v>1061.9999999999966</v>
      </c>
      <c r="AW80" s="360">
        <f t="shared" ref="AW80:AX80" si="47">AW77+AW76+AW78</f>
        <v>1596.0999999999967</v>
      </c>
      <c r="AX80" s="599">
        <f t="shared" si="47"/>
        <v>817.7999999999962</v>
      </c>
      <c r="AY80" s="360">
        <f>AY77+AY76+AY78+AY79</f>
        <v>1473.3999999999967</v>
      </c>
      <c r="AZ80" s="360">
        <f>AZ77+AZ76+AZ78+AZ79</f>
        <v>3478.4999999999955</v>
      </c>
      <c r="BA80" s="360">
        <f t="shared" ref="BA80" si="48">BA77+BA76+BA78</f>
        <v>4181.6999999999962</v>
      </c>
      <c r="BB80" s="599">
        <f>BB77+BB76+BB78+BB79</f>
        <v>3325.6999999999989</v>
      </c>
      <c r="BC80" s="360">
        <f>BC77+BC76+BC78+BC79</f>
        <v>2719.1999999999989</v>
      </c>
      <c r="BD80" s="360">
        <f>BD77+BD76+BD78+BD79</f>
        <v>3076.7999999999988</v>
      </c>
      <c r="BE80" s="360">
        <f>BE77+BE76+BE78+BE79</f>
        <v>3097.5999999999985</v>
      </c>
      <c r="BF80" s="599">
        <f>BF77+BF76+BF78+BF79</f>
        <v>2687.1038520594993</v>
      </c>
      <c r="BG80" s="360">
        <f t="shared" ref="BG80" si="49">BG77+BG76+BG78+BG79</f>
        <v>2254.9038520594995</v>
      </c>
      <c r="BH80" s="360"/>
      <c r="BI80" s="360"/>
      <c r="BJ80" s="599"/>
    </row>
    <row r="81" spans="1:61">
      <c r="N81" s="208"/>
      <c r="AE81" s="4"/>
      <c r="AF81" s="4"/>
      <c r="AG81" s="4"/>
      <c r="AH81" s="4"/>
      <c r="AI81" s="4"/>
      <c r="AJ81" s="4"/>
      <c r="AK81" s="4"/>
      <c r="AL81" s="4"/>
      <c r="AM81" s="4"/>
      <c r="AN81" s="4"/>
      <c r="AO81" s="4"/>
      <c r="AP81" s="4"/>
      <c r="AQ81" s="4"/>
      <c r="AR81" s="4"/>
      <c r="AS81" s="4"/>
      <c r="AT81" s="4"/>
      <c r="AU81" s="4"/>
      <c r="AV81" s="4"/>
      <c r="AW81" s="4"/>
      <c r="AX81" s="4"/>
      <c r="AY81" s="4"/>
      <c r="AZ81" s="4"/>
      <c r="BA81" s="4"/>
      <c r="BB81" s="4"/>
    </row>
    <row r="82" spans="1:61" s="6" customFormat="1" ht="38.6">
      <c r="A82" s="97" t="s">
        <v>429</v>
      </c>
      <c r="B82" s="97" t="s">
        <v>430</v>
      </c>
      <c r="N82" s="16"/>
      <c r="AB82" s="65"/>
      <c r="BD82" s="4"/>
      <c r="BE82" s="4"/>
      <c r="BF82" s="4"/>
      <c r="BG82" s="4"/>
      <c r="BH82" s="4"/>
      <c r="BI82" s="927"/>
    </row>
    <row r="83" spans="1:61" s="6" customFormat="1" ht="19.5" customHeight="1">
      <c r="A83" s="97" t="s">
        <v>431</v>
      </c>
      <c r="B83" s="97" t="s">
        <v>432</v>
      </c>
      <c r="N83" s="16"/>
      <c r="AB83" s="65"/>
      <c r="BD83" s="773"/>
      <c r="BE83" s="4"/>
      <c r="BF83" s="4"/>
      <c r="BG83" s="4"/>
      <c r="BH83" s="4"/>
      <c r="BI83" s="927"/>
    </row>
    <row r="84" spans="1:61" s="6" customFormat="1" ht="44.25" customHeight="1">
      <c r="A84" s="97" t="s">
        <v>433</v>
      </c>
      <c r="B84" s="97" t="s">
        <v>434</v>
      </c>
      <c r="N84" s="16"/>
      <c r="AB84" s="81"/>
      <c r="BD84" s="4"/>
      <c r="BE84" s="4"/>
      <c r="BF84" s="4"/>
      <c r="BG84" s="4"/>
      <c r="BH84" s="4"/>
      <c r="BI84" s="927"/>
    </row>
    <row r="85" spans="1:61" s="6" customFormat="1" ht="29.25" customHeight="1">
      <c r="A85" s="97" t="s">
        <v>435</v>
      </c>
      <c r="B85" s="97" t="s">
        <v>436</v>
      </c>
      <c r="N85" s="16"/>
      <c r="AB85" s="81"/>
      <c r="BD85" s="4"/>
      <c r="BE85" s="4"/>
      <c r="BF85" s="4"/>
      <c r="BG85" s="4"/>
      <c r="BH85" s="4"/>
      <c r="BI85" s="927"/>
    </row>
    <row r="86" spans="1:61" s="6" customFormat="1" ht="51" customHeight="1">
      <c r="A86" s="97" t="s">
        <v>437</v>
      </c>
      <c r="B86" s="97" t="s">
        <v>438</v>
      </c>
      <c r="N86" s="16"/>
      <c r="AB86" s="81"/>
      <c r="BD86" s="4"/>
      <c r="BE86" s="4"/>
      <c r="BF86" s="4"/>
      <c r="BG86" s="4"/>
      <c r="BH86" s="4"/>
      <c r="BI86" s="927"/>
    </row>
    <row r="87" spans="1:61" s="6" customFormat="1" ht="24" customHeight="1">
      <c r="A87" s="97" t="s">
        <v>439</v>
      </c>
      <c r="B87" s="97" t="s">
        <v>440</v>
      </c>
      <c r="N87" s="16"/>
      <c r="AB87" s="82"/>
      <c r="BD87" s="4"/>
      <c r="BE87" s="4"/>
      <c r="BF87" s="4"/>
      <c r="BG87" s="4"/>
      <c r="BH87" s="4"/>
      <c r="BI87" s="927"/>
    </row>
    <row r="88" spans="1:61" s="6" customFormat="1" ht="68.25" customHeight="1">
      <c r="A88" s="97" t="s">
        <v>441</v>
      </c>
      <c r="B88" s="97" t="s">
        <v>442</v>
      </c>
      <c r="N88" s="16"/>
      <c r="AB88" s="82"/>
      <c r="AD88" s="6" t="s">
        <v>443</v>
      </c>
      <c r="BD88" s="4"/>
      <c r="BE88" s="4"/>
      <c r="BF88" s="4"/>
      <c r="BG88" s="4"/>
      <c r="BH88" s="4"/>
      <c r="BI88" s="927"/>
    </row>
    <row r="89" spans="1:61" s="6" customFormat="1" ht="21.75" customHeight="1">
      <c r="A89" s="97" t="s">
        <v>444</v>
      </c>
      <c r="B89" s="97" t="s">
        <v>445</v>
      </c>
      <c r="N89" s="16"/>
      <c r="AB89" s="81"/>
      <c r="BD89" s="4"/>
      <c r="BE89" s="4"/>
      <c r="BF89" s="4"/>
      <c r="BG89" s="4"/>
      <c r="BH89" s="4"/>
      <c r="BI89" s="927"/>
    </row>
    <row r="90" spans="1:61" s="6" customFormat="1">
      <c r="A90" s="97"/>
      <c r="B90" s="97"/>
      <c r="N90" s="16"/>
      <c r="AB90" s="81"/>
      <c r="BD90" s="4"/>
      <c r="BE90" s="4"/>
      <c r="BF90" s="4"/>
      <c r="BG90" s="4"/>
      <c r="BH90" s="4"/>
      <c r="BI90" s="927"/>
    </row>
    <row r="91" spans="1:61" s="6" customFormat="1">
      <c r="A91" s="97"/>
      <c r="B91" s="97"/>
      <c r="N91" s="16"/>
      <c r="AB91" s="81"/>
      <c r="BD91" s="4"/>
      <c r="BE91" s="4"/>
      <c r="BF91" s="4"/>
      <c r="BG91" s="4"/>
      <c r="BH91" s="4"/>
      <c r="BI91" s="927"/>
    </row>
    <row r="92" spans="1:61" s="6" customFormat="1">
      <c r="A92" s="97"/>
      <c r="B92" s="97"/>
      <c r="N92" s="16"/>
      <c r="AB92" s="81"/>
      <c r="BI92" s="68"/>
    </row>
    <row r="93" spans="1:61" s="6" customFormat="1">
      <c r="A93" s="97"/>
      <c r="B93" s="97"/>
      <c r="N93" s="16"/>
      <c r="AB93" s="81"/>
      <c r="BI93" s="68"/>
    </row>
    <row r="94" spans="1:61" s="6" customFormat="1">
      <c r="A94" s="97"/>
      <c r="B94" s="97"/>
      <c r="N94" s="16"/>
      <c r="AB94" s="81"/>
      <c r="BI94" s="68"/>
    </row>
    <row r="95" spans="1:61" s="6" customFormat="1">
      <c r="A95" s="97"/>
      <c r="B95" s="97"/>
      <c r="N95" s="16"/>
      <c r="AB95" s="81"/>
      <c r="BI95" s="68"/>
    </row>
    <row r="96" spans="1:61" s="6" customFormat="1" ht="14.15">
      <c r="A96" s="97"/>
      <c r="B96" s="97"/>
      <c r="N96" s="16"/>
      <c r="AB96" s="82"/>
      <c r="BI96" s="68"/>
    </row>
    <row r="97" spans="1:61" s="6" customFormat="1" ht="14.15">
      <c r="A97" s="97"/>
      <c r="B97" s="97"/>
      <c r="N97" s="16"/>
      <c r="AB97" s="83"/>
      <c r="BI97" s="68"/>
    </row>
    <row r="98" spans="1:61" s="6" customFormat="1">
      <c r="A98" s="97"/>
      <c r="B98" s="97"/>
      <c r="N98" s="16"/>
      <c r="AB98" s="81"/>
      <c r="BI98" s="68"/>
    </row>
    <row r="99" spans="1:61" s="6" customFormat="1">
      <c r="A99" s="97"/>
      <c r="B99" s="97"/>
      <c r="N99" s="16"/>
      <c r="AB99" s="81"/>
      <c r="BI99" s="68"/>
    </row>
    <row r="100" spans="1:61" s="6" customFormat="1">
      <c r="A100" s="97"/>
      <c r="B100" s="97"/>
      <c r="N100" s="16"/>
      <c r="AB100" s="81"/>
      <c r="BI100" s="68"/>
    </row>
    <row r="101" spans="1:61" s="6" customFormat="1">
      <c r="A101" s="97"/>
      <c r="B101" s="97"/>
      <c r="N101" s="16"/>
      <c r="AB101" s="81"/>
      <c r="BI101" s="68"/>
    </row>
    <row r="102" spans="1:61" s="6" customFormat="1">
      <c r="A102" s="97"/>
      <c r="B102" s="97"/>
      <c r="N102" s="16"/>
      <c r="AB102" s="81"/>
      <c r="BI102" s="68"/>
    </row>
    <row r="103" spans="1:61" s="6" customFormat="1">
      <c r="A103" s="97"/>
      <c r="B103" s="97"/>
      <c r="N103" s="16"/>
      <c r="AB103" s="81"/>
      <c r="BI103" s="68"/>
    </row>
    <row r="104" spans="1:61" s="6" customFormat="1">
      <c r="A104" s="97"/>
      <c r="B104" s="97"/>
      <c r="N104" s="16"/>
      <c r="AB104" s="81"/>
      <c r="BI104" s="68"/>
    </row>
    <row r="105" spans="1:61" s="6" customFormat="1">
      <c r="A105" s="97"/>
      <c r="B105" s="97"/>
      <c r="N105" s="16"/>
      <c r="AB105" s="62"/>
      <c r="BI105" s="68"/>
    </row>
    <row r="106" spans="1:61" s="6" customFormat="1">
      <c r="A106" s="97"/>
      <c r="B106" s="97"/>
      <c r="N106" s="16"/>
      <c r="AB106" s="84"/>
      <c r="BI106" s="68"/>
    </row>
    <row r="107" spans="1:61" s="6" customFormat="1">
      <c r="A107" s="97"/>
      <c r="B107" s="97"/>
      <c r="N107" s="16"/>
      <c r="AB107" s="62"/>
      <c r="BI107" s="68"/>
    </row>
    <row r="108" spans="1:61" s="6" customFormat="1">
      <c r="A108" s="97"/>
      <c r="B108" s="97"/>
      <c r="N108" s="16"/>
      <c r="AB108" s="62"/>
      <c r="BI108" s="68"/>
    </row>
    <row r="109" spans="1:61" s="6" customFormat="1">
      <c r="A109" s="97"/>
      <c r="B109" s="97"/>
      <c r="N109" s="16"/>
      <c r="AB109" s="84"/>
      <c r="BI109" s="68"/>
    </row>
    <row r="110" spans="1:61" s="6" customFormat="1">
      <c r="A110" s="97"/>
      <c r="B110" s="97"/>
      <c r="N110" s="16"/>
      <c r="AB110" s="62"/>
      <c r="BI110" s="68"/>
    </row>
    <row r="111" spans="1:61" s="6" customFormat="1">
      <c r="A111" s="97"/>
      <c r="B111" s="97"/>
      <c r="N111" s="16"/>
      <c r="AB111" s="62"/>
      <c r="BI111" s="68"/>
    </row>
    <row r="112" spans="1:61" s="6" customFormat="1">
      <c r="A112" s="97"/>
      <c r="B112" s="97"/>
      <c r="N112" s="16"/>
      <c r="AB112" s="62"/>
      <c r="BI112" s="68"/>
    </row>
    <row r="113" spans="1:61" s="6" customFormat="1">
      <c r="A113" s="97"/>
      <c r="B113" s="97"/>
      <c r="N113" s="16"/>
      <c r="AB113" s="62"/>
      <c r="BI113" s="68"/>
    </row>
    <row r="114" spans="1:61" s="6" customFormat="1">
      <c r="A114" s="97"/>
      <c r="B114" s="97"/>
      <c r="N114" s="16"/>
      <c r="AB114" s="62"/>
      <c r="BI114" s="68"/>
    </row>
    <row r="115" spans="1:61" s="6" customFormat="1">
      <c r="A115" s="97"/>
      <c r="B115" s="97"/>
      <c r="N115" s="16"/>
      <c r="AB115" s="62"/>
      <c r="BI115" s="68"/>
    </row>
    <row r="116" spans="1:61" s="6" customFormat="1">
      <c r="A116" s="97"/>
      <c r="B116" s="97"/>
      <c r="N116" s="16"/>
      <c r="AB116" s="62"/>
      <c r="BI116" s="68"/>
    </row>
    <row r="117" spans="1:61" s="6" customFormat="1">
      <c r="A117" s="97"/>
      <c r="B117" s="97"/>
      <c r="N117" s="16"/>
      <c r="AB117" s="62"/>
      <c r="BI117" s="68"/>
    </row>
    <row r="118" spans="1:61" s="6" customFormat="1">
      <c r="A118" s="97"/>
      <c r="B118" s="97"/>
      <c r="N118" s="16"/>
      <c r="AB118" s="62"/>
      <c r="BI118" s="68"/>
    </row>
    <row r="119" spans="1:61" s="6" customFormat="1">
      <c r="A119" s="97"/>
      <c r="B119" s="97"/>
      <c r="N119" s="16"/>
      <c r="AB119" s="62"/>
      <c r="BI119" s="68"/>
    </row>
    <row r="120" spans="1:61" s="6" customFormat="1">
      <c r="A120" s="97"/>
      <c r="B120" s="97"/>
      <c r="AB120" s="62"/>
      <c r="BI120" s="68"/>
    </row>
    <row r="121" spans="1:61" s="6" customFormat="1">
      <c r="A121" s="97"/>
      <c r="B121" s="97"/>
      <c r="AB121" s="62"/>
      <c r="BI121" s="68"/>
    </row>
    <row r="122" spans="1:61" s="6" customFormat="1" ht="14.15">
      <c r="A122" s="97"/>
      <c r="B122" s="97"/>
      <c r="AB122" s="83"/>
      <c r="BI122" s="68"/>
    </row>
    <row r="123" spans="1:61" s="6" customFormat="1">
      <c r="A123" s="97"/>
      <c r="B123" s="97"/>
      <c r="AB123" s="62"/>
      <c r="BI123" s="68"/>
    </row>
    <row r="124" spans="1:61" s="6" customFormat="1">
      <c r="A124" s="97"/>
      <c r="B124" s="97"/>
      <c r="AB124" s="62"/>
      <c r="BI124" s="68"/>
    </row>
    <row r="125" spans="1:61" s="6" customFormat="1">
      <c r="A125" s="97"/>
      <c r="B125" s="97"/>
      <c r="AB125" s="84"/>
      <c r="BI125" s="68"/>
    </row>
    <row r="126" spans="1:61" s="6" customFormat="1">
      <c r="A126" s="97"/>
      <c r="B126" s="97"/>
      <c r="AB126" s="62"/>
      <c r="BI126" s="68"/>
    </row>
    <row r="127" spans="1:61" s="6" customFormat="1">
      <c r="A127" s="97"/>
      <c r="B127" s="97"/>
      <c r="AB127" s="62"/>
      <c r="BI127" s="68"/>
    </row>
    <row r="128" spans="1:61" s="6" customFormat="1">
      <c r="A128" s="97"/>
      <c r="B128" s="97"/>
      <c r="AB128" s="62"/>
      <c r="BI128" s="68"/>
    </row>
    <row r="129" spans="1:61" s="6" customFormat="1">
      <c r="A129" s="97"/>
      <c r="B129" s="97"/>
      <c r="AB129" s="62"/>
      <c r="BI129" s="68"/>
    </row>
    <row r="130" spans="1:61" s="6" customFormat="1">
      <c r="A130" s="97"/>
      <c r="B130" s="97"/>
      <c r="AB130" s="62"/>
      <c r="BI130" s="68"/>
    </row>
    <row r="131" spans="1:61" s="6" customFormat="1">
      <c r="A131" s="97"/>
      <c r="B131" s="97"/>
      <c r="AB131" s="62"/>
      <c r="BI131" s="68"/>
    </row>
    <row r="132" spans="1:61" s="6" customFormat="1">
      <c r="A132" s="97"/>
      <c r="B132" s="97"/>
      <c r="AB132" s="62"/>
      <c r="BI132" s="68"/>
    </row>
    <row r="133" spans="1:61" s="6" customFormat="1">
      <c r="A133" s="97"/>
      <c r="B133" s="97"/>
      <c r="AB133" s="62"/>
      <c r="BI133" s="68"/>
    </row>
    <row r="134" spans="1:61" s="6" customFormat="1">
      <c r="A134" s="97"/>
      <c r="B134" s="97"/>
      <c r="AB134" s="62"/>
      <c r="BI134" s="68"/>
    </row>
    <row r="135" spans="1:61" s="6" customFormat="1">
      <c r="A135" s="97"/>
      <c r="B135" s="97"/>
      <c r="AB135" s="62"/>
      <c r="BI135" s="68"/>
    </row>
    <row r="136" spans="1:61" s="6" customFormat="1">
      <c r="A136" s="97"/>
      <c r="B136" s="97"/>
      <c r="AB136" s="84"/>
      <c r="BI136" s="68"/>
    </row>
    <row r="137" spans="1:61" s="6" customFormat="1">
      <c r="A137" s="97"/>
      <c r="B137" s="97"/>
      <c r="AB137" s="84"/>
      <c r="BI137" s="68"/>
    </row>
    <row r="138" spans="1:61" s="6" customFormat="1">
      <c r="A138" s="97"/>
      <c r="B138" s="97"/>
      <c r="AB138" s="84"/>
      <c r="BI138" s="68"/>
    </row>
    <row r="139" spans="1:61" s="6" customFormat="1">
      <c r="A139" s="97"/>
      <c r="B139" s="97"/>
      <c r="AB139" s="62"/>
      <c r="BI139" s="68"/>
    </row>
    <row r="140" spans="1:61" s="6" customFormat="1">
      <c r="A140" s="97"/>
      <c r="B140" s="97"/>
      <c r="AB140" s="84"/>
      <c r="BI140" s="68"/>
    </row>
    <row r="141" spans="1:61" s="6" customFormat="1">
      <c r="A141" s="97"/>
      <c r="B141" s="97"/>
      <c r="AB141" s="4"/>
      <c r="BI141" s="68"/>
    </row>
    <row r="142" spans="1:61" s="6" customFormat="1">
      <c r="A142" s="97"/>
      <c r="B142" s="97"/>
      <c r="AB142" s="4"/>
      <c r="BI142" s="68"/>
    </row>
    <row r="143" spans="1:61" s="6" customFormat="1">
      <c r="A143" s="97"/>
      <c r="B143" s="97"/>
      <c r="AB143" s="4"/>
      <c r="BI143" s="68"/>
    </row>
    <row r="144" spans="1:61" s="6" customFormat="1">
      <c r="A144" s="97"/>
      <c r="B144" s="97"/>
      <c r="AB144" s="4"/>
      <c r="BI144" s="68"/>
    </row>
    <row r="145" spans="1:61" s="6" customFormat="1">
      <c r="A145" s="97"/>
      <c r="B145" s="97"/>
      <c r="AB145" s="4"/>
      <c r="BI145" s="68"/>
    </row>
    <row r="146" spans="1:61" s="6" customFormat="1">
      <c r="A146" s="97"/>
      <c r="B146" s="97"/>
      <c r="AB146" s="4"/>
      <c r="BI146" s="68"/>
    </row>
    <row r="147" spans="1:61" s="6" customFormat="1">
      <c r="A147" s="97"/>
      <c r="B147" s="97"/>
      <c r="AB147" s="4"/>
      <c r="BI147" s="68"/>
    </row>
    <row r="148" spans="1:61" s="6" customFormat="1">
      <c r="A148" s="97"/>
      <c r="B148" s="97"/>
      <c r="AB148" s="4"/>
      <c r="BI148" s="68"/>
    </row>
    <row r="149" spans="1:61" s="6" customFormat="1">
      <c r="A149" s="97"/>
      <c r="B149" s="97"/>
      <c r="AB149" s="4"/>
      <c r="BI149" s="68"/>
    </row>
    <row r="150" spans="1:61" s="6" customFormat="1">
      <c r="A150" s="97"/>
      <c r="B150" s="97"/>
      <c r="AB150" s="4"/>
      <c r="BI150" s="68"/>
    </row>
    <row r="151" spans="1:61" s="6" customFormat="1">
      <c r="A151" s="97"/>
      <c r="B151" s="97"/>
      <c r="AB151" s="4"/>
      <c r="BI151" s="68"/>
    </row>
    <row r="152" spans="1:61" s="6" customFormat="1">
      <c r="A152" s="97"/>
      <c r="B152" s="97"/>
      <c r="AB152" s="4"/>
      <c r="BI152" s="68"/>
    </row>
    <row r="153" spans="1:61" s="6" customFormat="1">
      <c r="A153" s="97"/>
      <c r="B153" s="97"/>
      <c r="AB153" s="4"/>
      <c r="BI153" s="68"/>
    </row>
    <row r="154" spans="1:61" s="6" customFormat="1">
      <c r="A154" s="97"/>
      <c r="B154" s="97"/>
      <c r="AB154" s="4"/>
      <c r="BI154" s="68"/>
    </row>
    <row r="155" spans="1:61" s="6" customFormat="1">
      <c r="A155" s="97"/>
      <c r="B155" s="97"/>
      <c r="AB155" s="4"/>
      <c r="BI155" s="68"/>
    </row>
    <row r="156" spans="1:61" s="6" customFormat="1">
      <c r="A156" s="97"/>
      <c r="B156" s="97"/>
      <c r="AB156" s="4"/>
      <c r="BI156" s="68"/>
    </row>
    <row r="157" spans="1:61" s="6" customFormat="1">
      <c r="A157" s="97"/>
      <c r="B157" s="97"/>
      <c r="AB157" s="4"/>
      <c r="BI157" s="68"/>
    </row>
    <row r="158" spans="1:61" s="6" customFormat="1">
      <c r="A158" s="97"/>
      <c r="B158" s="97"/>
      <c r="AB158" s="4"/>
      <c r="BI158" s="68"/>
    </row>
    <row r="159" spans="1:61">
      <c r="A159" s="97"/>
      <c r="B159" s="97"/>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C159" s="6"/>
      <c r="AD159" s="6"/>
      <c r="BD159" s="6"/>
    </row>
    <row r="160" spans="1:61">
      <c r="BD160" s="6"/>
    </row>
    <row r="161" spans="56:56">
      <c r="BD161" s="6"/>
    </row>
  </sheetData>
  <customSheetViews>
    <customSheetView guid="{B87BD74C-18F3-4393-BF03-31B25889E08F}" showGridLines="0" fitToPage="1" hiddenColumns="1">
      <pane xSplit="1" ySplit="4" topLeftCell="AI26" activePane="bottomRight" state="frozen"/>
      <selection pane="bottomRight" activeCell="AQ30" sqref="AQ30"/>
      <pageMargins left="0" right="0" top="0" bottom="0" header="0" footer="0"/>
      <pageSetup paperSize="9" scale="30" orientation="landscape" horizontalDpi="1200" verticalDpi="1200" r:id="rId1"/>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 right="0" top="0" bottom="0" header="0" footer="0"/>
      <pageSetup paperSize="9" scale="29" orientation="landscape" horizontalDpi="1200" verticalDpi="1200" r:id="rId2"/>
    </customSheetView>
    <customSheetView guid="{634BFE77-A2AA-4FA6-8ED5-F02244B9F10C}" showPageBreaks="1" showGridLines="0" fitToPage="1" printArea="1" hiddenColumns="1">
      <pane xSplit="1" ySplit="4" topLeftCell="AI54" activePane="bottomRight" state="frozen"/>
      <selection pane="bottomRight" activeCell="AQ68" sqref="AQ68"/>
      <pageMargins left="0" right="0" top="0" bottom="0" header="0" footer="0"/>
      <pageSetup paperSize="9" scale="30" orientation="landscape" horizontalDpi="1200" verticalDpi="1200"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AP5" activePane="bottomRight" state="frozen"/>
      <selection pane="bottomRight" activeCell="AR24" sqref="AR24"/>
      <pageMargins left="0" right="0" top="0" bottom="0" header="0" footer="0"/>
      <pageSetup paperSize="9" scale="29" orientation="landscape" horizontalDpi="1200" verticalDpi="1200" r:id="rId4"/>
    </customSheetView>
  </customSheetViews>
  <mergeCells count="15">
    <mergeCell ref="C2:F2"/>
    <mergeCell ref="G2:J2"/>
    <mergeCell ref="K2:N2"/>
    <mergeCell ref="O2:R2"/>
    <mergeCell ref="S2:V2"/>
    <mergeCell ref="AY2:BB2"/>
    <mergeCell ref="AU2:AX2"/>
    <mergeCell ref="BC2:BF2"/>
    <mergeCell ref="BG2:BJ2"/>
    <mergeCell ref="W2:Z2"/>
    <mergeCell ref="AQ2:AT2"/>
    <mergeCell ref="AM2:AP2"/>
    <mergeCell ref="AI2:AL2"/>
    <mergeCell ref="AE2:AH2"/>
    <mergeCell ref="AA2:AD2"/>
  </mergeCells>
  <pageMargins left="0.70866141732283505" right="0.70866141732283505" top="0.74803149606299202" bottom="0.74803149606299202" header="0.31496062992126" footer="0.31496062992126"/>
  <pageSetup paperSize="9" scale="29" orientation="landscape" horizontalDpi="1200" verticalDpi="1200" r:id="rId5"/>
  <headerFooter>
    <oddFooter>&amp;L&amp;1#&amp;"Calibri"&amp;8&amp;K000000TAJEMNICA PRZEDSIĘBIORSTWA w rozumieniu art. 11 ust. 2 ustawy z dnia 16 kwietnia 1993 r. o zwalczaniu nieuczciwej konkurencji – DO UŻYTKU SŁUŻBOWEGO</oddFooter>
  </headerFooter>
  <ignoredErrors>
    <ignoredError sqref="AC41" formulaRange="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X752"/>
  <sheetViews>
    <sheetView showGridLines="0" zoomScale="80" zoomScaleNormal="80" zoomScaleSheetLayoutView="100" workbookViewId="0">
      <pane xSplit="68" ySplit="4" topLeftCell="BW5" activePane="bottomRight" state="frozen"/>
      <selection pane="topRight" activeCell="BQ1" sqref="BQ1"/>
      <selection pane="bottomLeft" activeCell="A5" sqref="A5"/>
      <selection pane="bottomRight" activeCell="BY14" sqref="BY14"/>
    </sheetView>
  </sheetViews>
  <sheetFormatPr defaultColWidth="9" defaultRowHeight="14.6"/>
  <cols>
    <col min="1" max="1" width="43.2109375" style="144" customWidth="1"/>
    <col min="2" max="2" width="42.28515625" style="144" customWidth="1"/>
    <col min="3" max="38" width="3.5" style="144" hidden="1" customWidth="1"/>
    <col min="39" max="43" width="0" style="143" hidden="1" customWidth="1"/>
    <col min="44" max="48" width="9" style="143" hidden="1" customWidth="1"/>
    <col min="49" max="53" width="0" style="143" hidden="1" customWidth="1"/>
    <col min="54" max="54" width="9.2109375" style="143" hidden="1" customWidth="1"/>
    <col min="55" max="58" width="0" style="143" hidden="1" customWidth="1"/>
    <col min="59" max="59" width="9.2109375" style="143" hidden="1" customWidth="1"/>
    <col min="60" max="63" width="0" style="143" hidden="1" customWidth="1"/>
    <col min="64" max="64" width="9.2109375" style="143" hidden="1" customWidth="1"/>
    <col min="65" max="68" width="0" style="143" hidden="1" customWidth="1"/>
    <col min="69" max="69" width="9.2109375" style="143" bestFit="1" customWidth="1"/>
    <col min="70" max="73" width="9" style="143"/>
    <col min="74" max="74" width="9.2109375" style="143" bestFit="1" customWidth="1"/>
    <col min="75" max="79" width="9" style="143"/>
    <col min="80" max="80" width="9.7109375" style="143" bestFit="1" customWidth="1"/>
    <col min="81" max="492" width="9" style="143"/>
    <col min="493" max="16384" width="9" style="144"/>
  </cols>
  <sheetData>
    <row r="1" spans="1:492" ht="89.25"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782"/>
      <c r="AN1" s="782"/>
      <c r="AO1" s="782"/>
      <c r="AP1" s="782"/>
      <c r="AQ1" s="782"/>
      <c r="AR1" s="782"/>
      <c r="AS1" s="782"/>
      <c r="AT1" s="782"/>
      <c r="AU1" s="782"/>
      <c r="AV1" s="782"/>
      <c r="AW1" s="782"/>
      <c r="AX1" s="782"/>
      <c r="AY1" s="782"/>
      <c r="AZ1" s="782"/>
      <c r="BA1" s="782"/>
      <c r="BB1" s="782"/>
      <c r="BC1" s="782"/>
      <c r="BD1" s="782"/>
      <c r="BE1" s="782"/>
      <c r="BF1" s="782"/>
      <c r="BG1" s="782"/>
      <c r="BH1" s="782"/>
      <c r="BI1" s="782"/>
      <c r="BJ1" s="782"/>
      <c r="BK1" s="782"/>
      <c r="BL1" s="782"/>
      <c r="BM1" s="782"/>
      <c r="BN1" s="782"/>
      <c r="BO1" s="782"/>
      <c r="BP1" s="782"/>
      <c r="BQ1" s="782"/>
      <c r="BR1" s="782"/>
      <c r="BS1" s="782"/>
      <c r="BT1" s="782"/>
      <c r="BU1" s="782"/>
      <c r="BV1" s="782"/>
      <c r="BW1" s="782"/>
      <c r="BX1" s="782"/>
      <c r="BY1" s="782"/>
      <c r="BZ1" s="782"/>
      <c r="CA1" s="782"/>
      <c r="CB1" s="782"/>
      <c r="CC1" s="782"/>
      <c r="CD1" s="782"/>
      <c r="CE1" s="782"/>
      <c r="CF1" s="782"/>
      <c r="CG1" s="782"/>
      <c r="CH1" s="782"/>
      <c r="CI1" s="782"/>
      <c r="CJ1" s="782"/>
      <c r="CK1" s="782"/>
      <c r="CL1" s="782"/>
      <c r="CM1" s="782"/>
      <c r="CN1" s="782"/>
      <c r="CO1" s="782"/>
      <c r="CP1" s="782"/>
      <c r="CQ1" s="782"/>
      <c r="CR1" s="782"/>
      <c r="CS1" s="782"/>
      <c r="CT1" s="782"/>
      <c r="CU1" s="782"/>
      <c r="CV1" s="782"/>
      <c r="CW1" s="782"/>
      <c r="CX1" s="782"/>
      <c r="CY1" s="782"/>
      <c r="CZ1" s="782"/>
      <c r="DA1" s="782"/>
      <c r="DB1" s="782"/>
      <c r="DC1" s="782"/>
      <c r="DD1" s="782"/>
      <c r="DE1" s="782"/>
      <c r="DF1" s="782"/>
      <c r="DG1" s="782"/>
      <c r="DH1" s="782"/>
      <c r="DI1" s="782"/>
      <c r="DJ1" s="782"/>
      <c r="DK1" s="782"/>
      <c r="DL1" s="782"/>
      <c r="DM1" s="782"/>
      <c r="DN1" s="782"/>
      <c r="DO1" s="782"/>
      <c r="DP1" s="782"/>
      <c r="DQ1" s="782"/>
      <c r="DR1" s="782"/>
      <c r="DS1" s="782"/>
      <c r="DT1" s="782"/>
      <c r="DU1" s="782"/>
      <c r="DV1" s="782"/>
      <c r="DW1" s="782"/>
      <c r="DX1" s="782"/>
      <c r="DY1" s="782"/>
      <c r="DZ1" s="782"/>
      <c r="EA1" s="782"/>
      <c r="EB1" s="782"/>
      <c r="EC1" s="782"/>
      <c r="ED1" s="782"/>
      <c r="EE1" s="782"/>
      <c r="EF1" s="782"/>
      <c r="EG1" s="782"/>
      <c r="EH1" s="782"/>
      <c r="EI1" s="782"/>
      <c r="EJ1" s="782"/>
      <c r="EK1" s="782"/>
      <c r="EL1" s="782"/>
      <c r="EM1" s="782"/>
      <c r="EN1" s="782"/>
      <c r="EO1" s="782"/>
      <c r="EP1" s="782"/>
      <c r="EQ1" s="782"/>
      <c r="ER1" s="782"/>
      <c r="ES1" s="782"/>
      <c r="ET1" s="782"/>
      <c r="EU1" s="782"/>
      <c r="EV1" s="782"/>
      <c r="EW1" s="782"/>
      <c r="EX1" s="782"/>
      <c r="EY1" s="782"/>
      <c r="EZ1" s="782"/>
      <c r="FA1" s="782"/>
      <c r="FB1" s="782"/>
      <c r="FC1" s="782"/>
      <c r="FD1" s="782"/>
      <c r="FE1" s="782"/>
      <c r="FF1" s="782"/>
      <c r="FG1" s="782"/>
      <c r="FH1" s="782"/>
      <c r="FI1" s="782"/>
      <c r="FJ1" s="782"/>
      <c r="FK1" s="782"/>
      <c r="FL1" s="782"/>
      <c r="FM1" s="782"/>
      <c r="FN1" s="782"/>
      <c r="FO1" s="782"/>
      <c r="FP1" s="782"/>
      <c r="FQ1" s="782"/>
      <c r="FR1" s="782"/>
      <c r="FS1" s="782"/>
      <c r="FT1" s="782"/>
      <c r="FU1" s="782"/>
      <c r="FV1" s="782"/>
      <c r="FW1" s="782"/>
      <c r="FX1" s="782"/>
      <c r="FY1" s="782"/>
      <c r="FZ1" s="782"/>
      <c r="GA1" s="782"/>
      <c r="GB1" s="782"/>
      <c r="GC1" s="782"/>
      <c r="GD1" s="782"/>
      <c r="GE1" s="782"/>
      <c r="GF1" s="782"/>
      <c r="GG1" s="782"/>
      <c r="GH1" s="782"/>
      <c r="GI1" s="782"/>
      <c r="GJ1" s="782"/>
      <c r="GK1" s="782"/>
      <c r="GL1" s="782"/>
      <c r="GM1" s="782"/>
      <c r="GN1" s="782"/>
      <c r="GO1" s="782"/>
      <c r="GP1" s="782"/>
      <c r="GQ1" s="782"/>
      <c r="GR1" s="782"/>
      <c r="GS1" s="782"/>
      <c r="GT1" s="782"/>
      <c r="GU1" s="782"/>
      <c r="GV1" s="782"/>
      <c r="GW1" s="782"/>
      <c r="GX1" s="782"/>
      <c r="GY1" s="782"/>
      <c r="GZ1" s="782"/>
      <c r="HA1" s="782"/>
      <c r="HB1" s="782"/>
      <c r="HC1" s="782"/>
      <c r="HD1" s="782"/>
      <c r="HE1" s="782"/>
      <c r="HF1" s="782"/>
      <c r="HG1" s="782"/>
      <c r="HH1" s="782"/>
      <c r="HI1" s="782"/>
      <c r="HJ1" s="782"/>
      <c r="HK1" s="782"/>
      <c r="HL1" s="782"/>
      <c r="HM1" s="782"/>
      <c r="HN1" s="782"/>
      <c r="HO1" s="782"/>
      <c r="HP1" s="782"/>
      <c r="HQ1" s="782"/>
      <c r="HR1" s="782"/>
      <c r="HS1" s="782"/>
      <c r="HT1" s="782"/>
      <c r="HU1" s="782"/>
      <c r="HV1" s="782"/>
      <c r="HW1" s="782"/>
      <c r="HX1" s="782"/>
      <c r="HY1" s="782"/>
      <c r="HZ1" s="782"/>
      <c r="IA1" s="782"/>
      <c r="IB1" s="782"/>
      <c r="IC1" s="782"/>
      <c r="ID1" s="782"/>
      <c r="IE1" s="782"/>
      <c r="IF1" s="782"/>
      <c r="IG1" s="782"/>
      <c r="IH1" s="782"/>
      <c r="II1" s="782"/>
      <c r="IJ1" s="782"/>
      <c r="IK1" s="782"/>
      <c r="IL1" s="782"/>
      <c r="IM1" s="782"/>
      <c r="IN1" s="782"/>
      <c r="IO1" s="782"/>
      <c r="IP1" s="782"/>
      <c r="IQ1" s="782"/>
      <c r="IR1" s="782"/>
      <c r="IS1" s="782"/>
      <c r="IT1" s="782"/>
      <c r="IU1" s="782"/>
      <c r="IV1" s="782"/>
      <c r="IW1" s="782"/>
      <c r="IX1" s="782"/>
      <c r="IY1" s="782"/>
      <c r="IZ1" s="782"/>
      <c r="JA1" s="782"/>
      <c r="JB1" s="782"/>
      <c r="JC1" s="782"/>
      <c r="JD1" s="782"/>
      <c r="JE1" s="782"/>
      <c r="JF1" s="782"/>
      <c r="JG1" s="782"/>
      <c r="JH1" s="782"/>
      <c r="JI1" s="782"/>
      <c r="JJ1" s="782"/>
      <c r="JK1" s="782"/>
      <c r="JL1" s="782"/>
      <c r="JM1" s="782"/>
      <c r="JN1" s="782"/>
      <c r="JO1" s="782"/>
      <c r="JP1" s="782"/>
      <c r="JQ1" s="782"/>
      <c r="JR1" s="782"/>
      <c r="JS1" s="782"/>
      <c r="JT1" s="782"/>
      <c r="JU1" s="782"/>
      <c r="JV1" s="782"/>
      <c r="JW1" s="782"/>
      <c r="JX1" s="782"/>
      <c r="JY1" s="782"/>
      <c r="JZ1" s="782"/>
      <c r="KA1" s="782"/>
      <c r="KB1" s="782"/>
      <c r="KC1" s="782"/>
      <c r="KD1" s="782"/>
      <c r="KE1" s="782"/>
      <c r="KF1" s="782"/>
      <c r="KG1" s="782"/>
      <c r="KH1" s="782"/>
      <c r="KI1" s="782"/>
      <c r="KJ1" s="782"/>
      <c r="KK1" s="782"/>
      <c r="KL1" s="782"/>
      <c r="KM1" s="782"/>
      <c r="KN1" s="782"/>
      <c r="KO1" s="782"/>
      <c r="KP1" s="782"/>
      <c r="KQ1" s="782"/>
      <c r="KR1" s="782"/>
      <c r="KS1" s="782"/>
      <c r="KT1" s="782"/>
      <c r="KU1" s="782"/>
      <c r="KV1" s="782"/>
      <c r="KW1" s="782"/>
      <c r="KX1" s="782"/>
      <c r="KY1" s="782"/>
      <c r="KZ1" s="782"/>
      <c r="LA1" s="782"/>
      <c r="LB1" s="782"/>
      <c r="LC1" s="782"/>
      <c r="LD1" s="782"/>
      <c r="LE1" s="782"/>
      <c r="LF1" s="782"/>
      <c r="LG1" s="782"/>
      <c r="LH1" s="782"/>
      <c r="LI1" s="782"/>
      <c r="LJ1" s="782"/>
      <c r="LK1" s="782"/>
      <c r="LL1" s="782"/>
      <c r="LM1" s="782"/>
      <c r="LN1" s="782"/>
      <c r="LO1" s="782"/>
      <c r="LP1" s="782"/>
      <c r="LQ1" s="782"/>
      <c r="LR1" s="782"/>
      <c r="LS1" s="782"/>
      <c r="LT1" s="782"/>
      <c r="LU1" s="782"/>
      <c r="LV1" s="782"/>
      <c r="LW1" s="782"/>
      <c r="LX1" s="782"/>
      <c r="LY1" s="782"/>
      <c r="LZ1" s="782"/>
      <c r="MA1" s="782"/>
      <c r="MB1" s="782"/>
      <c r="MC1" s="782"/>
      <c r="MD1" s="782"/>
      <c r="ME1" s="782"/>
      <c r="MF1" s="782"/>
      <c r="MG1" s="782"/>
      <c r="MH1" s="782"/>
      <c r="MI1" s="782"/>
      <c r="MJ1" s="782"/>
      <c r="MK1" s="782"/>
      <c r="ML1" s="782"/>
      <c r="MM1" s="782"/>
      <c r="MN1" s="782"/>
      <c r="MO1" s="782"/>
      <c r="MP1" s="782"/>
      <c r="MQ1" s="782"/>
      <c r="MR1" s="782"/>
      <c r="MS1" s="782"/>
      <c r="MT1" s="782"/>
      <c r="MU1" s="782"/>
      <c r="MV1" s="782"/>
      <c r="MW1" s="782"/>
      <c r="MX1" s="782"/>
      <c r="MY1" s="782"/>
      <c r="MZ1" s="782"/>
      <c r="NA1" s="782"/>
      <c r="NB1" s="782"/>
      <c r="NC1" s="782"/>
      <c r="ND1" s="782"/>
      <c r="NE1" s="782"/>
      <c r="NF1" s="782"/>
      <c r="NG1" s="782"/>
      <c r="NH1" s="782"/>
      <c r="NI1" s="782"/>
      <c r="NJ1" s="782"/>
      <c r="NK1" s="782"/>
      <c r="NL1" s="782"/>
      <c r="NM1" s="782"/>
      <c r="NN1" s="782"/>
      <c r="NO1" s="782"/>
      <c r="NP1" s="782"/>
      <c r="NQ1" s="782"/>
      <c r="NR1" s="782"/>
      <c r="NS1" s="782"/>
      <c r="NT1" s="782"/>
      <c r="NU1" s="782"/>
      <c r="NV1" s="782"/>
      <c r="NW1" s="782"/>
      <c r="NX1" s="782"/>
      <c r="NY1" s="782"/>
      <c r="NZ1" s="782"/>
      <c r="OA1" s="782"/>
      <c r="OB1" s="782"/>
      <c r="OC1" s="782"/>
      <c r="OD1" s="782"/>
      <c r="OE1" s="782"/>
      <c r="OF1" s="782"/>
      <c r="OG1" s="782"/>
      <c r="OH1" s="782"/>
      <c r="OI1" s="782"/>
      <c r="OJ1" s="782"/>
      <c r="OK1" s="782"/>
      <c r="OL1" s="782"/>
      <c r="OM1" s="782"/>
      <c r="ON1" s="782"/>
      <c r="OO1" s="782"/>
      <c r="OP1" s="782"/>
      <c r="OQ1" s="782"/>
      <c r="OR1" s="782"/>
      <c r="OS1" s="782"/>
      <c r="OT1" s="782"/>
      <c r="OU1" s="782"/>
      <c r="OV1" s="782"/>
      <c r="OW1" s="782"/>
      <c r="OX1" s="782"/>
      <c r="OY1" s="782"/>
      <c r="OZ1" s="782"/>
      <c r="PA1" s="782"/>
      <c r="PB1" s="782"/>
      <c r="PC1" s="782"/>
      <c r="PD1" s="782"/>
      <c r="PE1" s="782"/>
      <c r="PF1" s="782"/>
      <c r="PG1" s="782"/>
      <c r="PH1" s="782"/>
      <c r="PI1" s="782"/>
      <c r="PJ1" s="782"/>
      <c r="PK1" s="782"/>
      <c r="PL1" s="782"/>
      <c r="PM1" s="782"/>
      <c r="PN1" s="782"/>
      <c r="PO1" s="782"/>
      <c r="PP1" s="782"/>
      <c r="PQ1" s="782"/>
      <c r="PR1" s="782"/>
      <c r="PS1" s="782"/>
      <c r="PT1" s="782"/>
      <c r="PU1" s="782"/>
      <c r="PV1" s="782"/>
      <c r="PW1" s="782"/>
      <c r="PX1" s="782"/>
      <c r="PY1" s="782"/>
      <c r="PZ1" s="782"/>
      <c r="QA1" s="782"/>
      <c r="QB1" s="782"/>
      <c r="QC1" s="782"/>
      <c r="QD1" s="782"/>
      <c r="QE1" s="782"/>
      <c r="QF1" s="782"/>
      <c r="QG1" s="782"/>
      <c r="QH1" s="782"/>
      <c r="QI1" s="782"/>
      <c r="QJ1" s="782"/>
      <c r="QK1" s="782"/>
      <c r="QL1" s="782"/>
      <c r="QM1" s="782"/>
      <c r="QN1" s="782"/>
      <c r="QO1" s="782"/>
      <c r="QP1" s="782"/>
      <c r="QQ1" s="782"/>
      <c r="QR1" s="782"/>
      <c r="QS1" s="782"/>
      <c r="QT1" s="782"/>
      <c r="QU1" s="782"/>
      <c r="QV1" s="782"/>
      <c r="QW1" s="782"/>
      <c r="QX1" s="782"/>
      <c r="QY1" s="782"/>
      <c r="QZ1" s="782"/>
      <c r="RA1" s="782"/>
      <c r="RB1" s="782"/>
      <c r="RC1" s="782"/>
      <c r="RD1" s="782"/>
      <c r="RE1" s="782"/>
      <c r="RF1" s="782"/>
      <c r="RG1" s="782"/>
      <c r="RH1" s="782"/>
      <c r="RI1" s="782"/>
      <c r="RJ1" s="782"/>
      <c r="RK1" s="782"/>
      <c r="RL1" s="782"/>
      <c r="RM1" s="782"/>
      <c r="RN1" s="782"/>
      <c r="RO1" s="782"/>
      <c r="RP1" s="782"/>
      <c r="RQ1" s="782"/>
      <c r="RR1" s="782"/>
      <c r="RS1" s="782"/>
      <c r="RT1" s="782"/>
      <c r="RU1" s="782"/>
      <c r="RV1" s="782"/>
      <c r="RW1" s="782"/>
      <c r="RX1" s="782"/>
    </row>
    <row r="2" spans="1:492" s="5" customFormat="1" ht="32.15" customHeight="1">
      <c r="A2" s="380"/>
      <c r="B2" s="380"/>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1"/>
      <c r="AC2" s="381"/>
      <c r="AD2" s="381"/>
      <c r="AE2" s="381"/>
      <c r="AF2" s="381"/>
      <c r="AG2" s="381"/>
      <c r="AH2" s="381"/>
      <c r="AI2" s="381"/>
      <c r="AJ2" s="381"/>
      <c r="AK2" s="381"/>
      <c r="AL2" s="381"/>
      <c r="AM2" s="967" t="s">
        <v>446</v>
      </c>
      <c r="AN2" s="967"/>
      <c r="AO2" s="967"/>
      <c r="AP2" s="967"/>
      <c r="AQ2" s="967"/>
      <c r="AR2" s="967"/>
      <c r="AS2" s="967"/>
      <c r="AT2" s="967"/>
      <c r="AU2" s="967"/>
      <c r="AV2" s="967"/>
      <c r="AW2" s="967" t="s">
        <v>447</v>
      </c>
      <c r="AX2" s="967"/>
      <c r="AY2" s="967"/>
      <c r="AZ2" s="967"/>
      <c r="BA2" s="967"/>
      <c r="BB2" s="967" t="s">
        <v>6</v>
      </c>
      <c r="BC2" s="967"/>
      <c r="BD2" s="967"/>
      <c r="BE2" s="967"/>
      <c r="BF2" s="967"/>
      <c r="BG2" s="967" t="s">
        <v>7</v>
      </c>
      <c r="BH2" s="967"/>
      <c r="BI2" s="967"/>
      <c r="BJ2" s="967"/>
      <c r="BK2" s="967"/>
      <c r="BL2" s="967" t="s">
        <v>8</v>
      </c>
      <c r="BM2" s="967"/>
      <c r="BN2" s="967"/>
      <c r="BO2" s="967"/>
      <c r="BP2" s="967"/>
      <c r="BQ2" s="967" t="s">
        <v>9</v>
      </c>
      <c r="BR2" s="967"/>
      <c r="BS2" s="967"/>
      <c r="BT2" s="967"/>
      <c r="BU2" s="967"/>
      <c r="BV2" s="967" t="s">
        <v>10</v>
      </c>
      <c r="BW2" s="967"/>
      <c r="BX2" s="967"/>
      <c r="BY2" s="967"/>
      <c r="BZ2" s="967"/>
      <c r="CA2" s="967" t="s">
        <v>796</v>
      </c>
      <c r="CB2" s="967"/>
      <c r="CC2" s="967"/>
      <c r="CD2" s="967"/>
      <c r="CE2" s="967"/>
    </row>
    <row r="3" spans="1:492" s="5" customFormat="1" ht="32.15" customHeight="1">
      <c r="A3" s="382"/>
      <c r="B3" s="382"/>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954" t="s">
        <v>448</v>
      </c>
      <c r="AN3" s="954"/>
      <c r="AO3" s="954"/>
      <c r="AP3" s="954"/>
      <c r="AQ3" s="954"/>
      <c r="AR3" s="954"/>
      <c r="AS3" s="954"/>
      <c r="AT3" s="954"/>
      <c r="AU3" s="954"/>
      <c r="AV3" s="954"/>
      <c r="AW3" s="954" t="s">
        <v>449</v>
      </c>
      <c r="AX3" s="954"/>
      <c r="AY3" s="954"/>
      <c r="AZ3" s="954"/>
      <c r="BA3" s="954"/>
      <c r="BB3" s="954" t="s">
        <v>15</v>
      </c>
      <c r="BC3" s="954"/>
      <c r="BD3" s="954"/>
      <c r="BE3" s="954"/>
      <c r="BF3" s="954"/>
      <c r="BG3" s="954" t="s">
        <v>16</v>
      </c>
      <c r="BH3" s="954"/>
      <c r="BI3" s="954"/>
      <c r="BJ3" s="954"/>
      <c r="BK3" s="954"/>
      <c r="BL3" s="954" t="s">
        <v>17</v>
      </c>
      <c r="BM3" s="954"/>
      <c r="BN3" s="954"/>
      <c r="BO3" s="954"/>
      <c r="BP3" s="954"/>
      <c r="BQ3" s="954" t="s">
        <v>18</v>
      </c>
      <c r="BR3" s="954"/>
      <c r="BS3" s="954"/>
      <c r="BT3" s="954"/>
      <c r="BU3" s="954"/>
      <c r="BV3" s="954" t="s">
        <v>19</v>
      </c>
      <c r="BW3" s="954"/>
      <c r="BX3" s="954"/>
      <c r="BY3" s="954"/>
      <c r="BZ3" s="954"/>
      <c r="CA3" s="954" t="s">
        <v>797</v>
      </c>
      <c r="CB3" s="954"/>
      <c r="CC3" s="954"/>
      <c r="CD3" s="954"/>
      <c r="CE3" s="954"/>
    </row>
    <row r="4" spans="1:492" s="5" customFormat="1" ht="16.5" customHeight="1">
      <c r="A4" s="487" t="s">
        <v>20</v>
      </c>
      <c r="B4" s="384" t="s">
        <v>20</v>
      </c>
      <c r="C4" s="385"/>
      <c r="D4" s="385"/>
      <c r="E4" s="385"/>
      <c r="F4" s="385"/>
      <c r="G4" s="385"/>
      <c r="H4" s="385"/>
      <c r="I4" s="385"/>
      <c r="J4" s="385"/>
      <c r="K4" s="385"/>
      <c r="L4" s="385"/>
      <c r="M4" s="385"/>
      <c r="N4" s="385"/>
      <c r="O4" s="385"/>
      <c r="P4" s="385"/>
      <c r="Q4" s="385"/>
      <c r="R4" s="385"/>
      <c r="S4" s="385"/>
      <c r="T4" s="385"/>
      <c r="U4" s="385"/>
      <c r="V4" s="385"/>
      <c r="W4" s="385"/>
      <c r="X4" s="385"/>
      <c r="Y4" s="385"/>
      <c r="Z4" s="385"/>
      <c r="AA4" s="385"/>
      <c r="AB4" s="385"/>
      <c r="AC4" s="385"/>
      <c r="AD4" s="385"/>
      <c r="AE4" s="385"/>
      <c r="AF4" s="385"/>
      <c r="AG4" s="385"/>
      <c r="AH4" s="385"/>
      <c r="AI4" s="385"/>
      <c r="AJ4" s="385"/>
      <c r="AK4" s="385"/>
      <c r="AL4" s="385"/>
      <c r="AM4" s="496" t="s">
        <v>21</v>
      </c>
      <c r="AN4" s="386" t="s">
        <v>22</v>
      </c>
      <c r="AO4" s="387" t="s">
        <v>23</v>
      </c>
      <c r="AP4" s="386" t="s">
        <v>24</v>
      </c>
      <c r="AQ4" s="514" t="s">
        <v>450</v>
      </c>
      <c r="AR4" s="386"/>
      <c r="AS4" s="386"/>
      <c r="AT4" s="387"/>
      <c r="AU4" s="386"/>
      <c r="AV4" s="388"/>
      <c r="AW4" s="389" t="s">
        <v>21</v>
      </c>
      <c r="AX4" s="389" t="s">
        <v>22</v>
      </c>
      <c r="AY4" s="390" t="s">
        <v>23</v>
      </c>
      <c r="AZ4" s="389" t="s">
        <v>24</v>
      </c>
      <c r="BA4" s="386" t="s">
        <v>451</v>
      </c>
      <c r="BB4" s="389" t="s">
        <v>21</v>
      </c>
      <c r="BC4" s="389" t="s">
        <v>22</v>
      </c>
      <c r="BD4" s="390" t="s">
        <v>23</v>
      </c>
      <c r="BE4" s="389" t="s">
        <v>24</v>
      </c>
      <c r="BF4" s="386" t="s">
        <v>452</v>
      </c>
      <c r="BG4" s="389" t="s">
        <v>21</v>
      </c>
      <c r="BH4" s="389" t="s">
        <v>22</v>
      </c>
      <c r="BI4" s="390" t="s">
        <v>23</v>
      </c>
      <c r="BJ4" s="389" t="s">
        <v>24</v>
      </c>
      <c r="BK4" s="386" t="s">
        <v>453</v>
      </c>
      <c r="BL4" s="389" t="s">
        <v>21</v>
      </c>
      <c r="BM4" s="389" t="s">
        <v>22</v>
      </c>
      <c r="BN4" s="390" t="s">
        <v>23</v>
      </c>
      <c r="BO4" s="389" t="s">
        <v>24</v>
      </c>
      <c r="BP4" s="386" t="s">
        <v>30</v>
      </c>
      <c r="BQ4" s="389" t="s">
        <v>21</v>
      </c>
      <c r="BR4" s="389" t="s">
        <v>22</v>
      </c>
      <c r="BS4" s="390" t="s">
        <v>23</v>
      </c>
      <c r="BT4" s="389" t="s">
        <v>24</v>
      </c>
      <c r="BU4" s="389">
        <v>2023</v>
      </c>
      <c r="BV4" s="389" t="s">
        <v>21</v>
      </c>
      <c r="BW4" s="389" t="s">
        <v>22</v>
      </c>
      <c r="BX4" s="390" t="s">
        <v>23</v>
      </c>
      <c r="BY4" s="389" t="s">
        <v>24</v>
      </c>
      <c r="BZ4" s="389">
        <v>2024</v>
      </c>
      <c r="CA4" s="389" t="s">
        <v>21</v>
      </c>
      <c r="CB4" s="389" t="s">
        <v>22</v>
      </c>
      <c r="CC4" s="390" t="s">
        <v>23</v>
      </c>
      <c r="CD4" s="389" t="s">
        <v>24</v>
      </c>
      <c r="CE4" s="389">
        <v>2025</v>
      </c>
    </row>
    <row r="5" spans="1:492" s="59" customFormat="1" ht="20.25" customHeight="1" thickBot="1">
      <c r="A5" s="488" t="s">
        <v>454</v>
      </c>
      <c r="B5" s="509" t="s">
        <v>455</v>
      </c>
      <c r="C5" s="394"/>
      <c r="D5" s="394"/>
      <c r="E5" s="394"/>
      <c r="F5" s="394"/>
      <c r="G5" s="394"/>
      <c r="H5" s="394"/>
      <c r="I5" s="394"/>
      <c r="J5" s="394"/>
      <c r="K5" s="394"/>
      <c r="L5" s="394"/>
      <c r="M5" s="394"/>
      <c r="N5" s="394"/>
      <c r="O5" s="394"/>
      <c r="P5" s="394"/>
      <c r="Q5" s="394"/>
      <c r="R5" s="394"/>
      <c r="S5" s="394"/>
      <c r="T5" s="394"/>
      <c r="U5" s="394"/>
      <c r="V5" s="394"/>
      <c r="W5" s="394"/>
      <c r="X5" s="394"/>
      <c r="Y5" s="394"/>
      <c r="Z5" s="394"/>
      <c r="AA5" s="394"/>
      <c r="AB5" s="394"/>
      <c r="AC5" s="394"/>
      <c r="AD5" s="394"/>
      <c r="AE5" s="394"/>
      <c r="AF5" s="394"/>
      <c r="AG5" s="394"/>
      <c r="AH5" s="394"/>
      <c r="AI5" s="394"/>
      <c r="AJ5" s="394"/>
      <c r="AK5" s="394"/>
      <c r="AL5" s="394"/>
      <c r="AM5" s="497">
        <f>SUM(AM6:AM10)</f>
        <v>2345.9</v>
      </c>
      <c r="AN5" s="395">
        <f>SUM(AN6:AN10)</f>
        <v>2603.1999999999994</v>
      </c>
      <c r="AO5" s="395">
        <f>SUM(AO6:AO10)</f>
        <v>2735</v>
      </c>
      <c r="AP5" s="395">
        <f>SUM(AP6:AP10)</f>
        <v>3002.0000000000014</v>
      </c>
      <c r="AQ5" s="498">
        <f>SUM(AQ6:AQ10)</f>
        <v>10686.1</v>
      </c>
      <c r="AR5" s="395"/>
      <c r="AS5" s="395"/>
      <c r="AT5" s="395"/>
      <c r="AU5" s="395"/>
      <c r="AV5" s="396"/>
      <c r="AW5" s="395">
        <f t="shared" ref="AW5:AZ5" si="0">SUM(AW6:AW10)</f>
        <v>2791.6</v>
      </c>
      <c r="AX5" s="395">
        <f t="shared" si="0"/>
        <v>2923</v>
      </c>
      <c r="AY5" s="395">
        <f t="shared" si="0"/>
        <v>2892.4</v>
      </c>
      <c r="AZ5" s="395">
        <f t="shared" si="0"/>
        <v>3069.0999999999995</v>
      </c>
      <c r="BA5" s="493">
        <f>SUM(BA6:BA10)</f>
        <v>11676.099999999999</v>
      </c>
      <c r="BB5" s="497">
        <f t="shared" ref="BB5:BI5" si="1">SUM(BB6:BB10)</f>
        <v>2848.5</v>
      </c>
      <c r="BC5" s="395">
        <f t="shared" si="1"/>
        <v>2862.6999999999994</v>
      </c>
      <c r="BD5" s="395">
        <f t="shared" si="1"/>
        <v>3003.5000000000005</v>
      </c>
      <c r="BE5" s="395">
        <f t="shared" si="1"/>
        <v>3248.2000000000003</v>
      </c>
      <c r="BF5" s="498">
        <f>SUM(BF6:BF10)</f>
        <v>11962.9</v>
      </c>
      <c r="BG5" s="395">
        <f t="shared" si="1"/>
        <v>2987.3999999999996</v>
      </c>
      <c r="BH5" s="395">
        <f t="shared" si="1"/>
        <v>3159.7</v>
      </c>
      <c r="BI5" s="395">
        <f t="shared" si="1"/>
        <v>3031.9</v>
      </c>
      <c r="BJ5" s="395">
        <f>SUM(BJ6:BJ10)</f>
        <v>3265.0000000000005</v>
      </c>
      <c r="BK5" s="498">
        <f>SUM(BK6:BK10)</f>
        <v>12444.000000000002</v>
      </c>
      <c r="BL5" s="395">
        <f>SUM(BL6:BL10)</f>
        <v>2986.7000000000003</v>
      </c>
      <c r="BM5" s="395">
        <f>SUM(BM6:BM10)</f>
        <v>3228.1000000000004</v>
      </c>
      <c r="BN5" s="395">
        <f t="shared" ref="BN5" si="2">SUM(BN6:BN10)</f>
        <v>3270.9000000000005</v>
      </c>
      <c r="BO5" s="395">
        <f>SUM(BO6:BO10)</f>
        <v>3429.6</v>
      </c>
      <c r="BP5" s="498">
        <f>SUM(BP6:BP10)</f>
        <v>12915.3</v>
      </c>
      <c r="BQ5" s="395">
        <f>SUM(BQ6:BQ10)</f>
        <v>3199.3</v>
      </c>
      <c r="BR5" s="395">
        <f>SUM(BR6:BR10)</f>
        <v>3289.8</v>
      </c>
      <c r="BS5" s="395">
        <f t="shared" ref="BS5" si="3">SUM(BS6:BS10)</f>
        <v>3455.7</v>
      </c>
      <c r="BT5" s="395">
        <f>SUM(BT6:BT10)</f>
        <v>3681.5000000000005</v>
      </c>
      <c r="BU5" s="822">
        <f>SUM(BU6:BU10)</f>
        <v>13626.300000000001</v>
      </c>
      <c r="BV5" s="395">
        <f>SUM(BV6:BV10)</f>
        <v>3405</v>
      </c>
      <c r="BW5" s="395">
        <f>SUM(BW6:BW10)</f>
        <v>3454.2999999999997</v>
      </c>
      <c r="BX5" s="395">
        <f t="shared" ref="BX5" si="4">SUM(BX6:BX10)</f>
        <v>3579.5</v>
      </c>
      <c r="BY5" s="395">
        <f>SUM(BY6:BY10)</f>
        <v>3827.1000000000013</v>
      </c>
      <c r="BZ5" s="822">
        <f>SUM(BZ6:BZ10)</f>
        <v>14265.900000000001</v>
      </c>
      <c r="CA5" s="395">
        <f>SUM(CA6:CA10)</f>
        <v>3530.2000000000003</v>
      </c>
      <c r="CB5" s="395"/>
      <c r="CC5" s="395"/>
      <c r="CD5" s="395"/>
      <c r="CE5" s="822">
        <f>SUM(CE6:CE10)</f>
        <v>3530.2000000000003</v>
      </c>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row>
    <row r="6" spans="1:492" s="480" customFormat="1" ht="20.149999999999999" customHeight="1">
      <c r="A6" s="489" t="s">
        <v>456</v>
      </c>
      <c r="B6" s="510" t="s">
        <v>457</v>
      </c>
      <c r="C6" s="474"/>
      <c r="D6" s="474"/>
      <c r="E6" s="474"/>
      <c r="F6" s="474"/>
      <c r="G6" s="474"/>
      <c r="H6" s="474"/>
      <c r="I6" s="474"/>
      <c r="J6" s="474"/>
      <c r="K6" s="474"/>
      <c r="L6" s="474"/>
      <c r="M6" s="474"/>
      <c r="N6" s="474"/>
      <c r="O6" s="474"/>
      <c r="P6" s="474"/>
      <c r="Q6" s="474"/>
      <c r="R6" s="474"/>
      <c r="S6" s="474"/>
      <c r="T6" s="474"/>
      <c r="U6" s="474"/>
      <c r="V6" s="474"/>
      <c r="W6" s="474"/>
      <c r="X6" s="474"/>
      <c r="Y6" s="474"/>
      <c r="Z6" s="474"/>
      <c r="AA6" s="474"/>
      <c r="AB6" s="474"/>
      <c r="AC6" s="474"/>
      <c r="AD6" s="474"/>
      <c r="AE6" s="474"/>
      <c r="AF6" s="474"/>
      <c r="AG6" s="474"/>
      <c r="AH6" s="474"/>
      <c r="AI6" s="474"/>
      <c r="AJ6" s="474"/>
      <c r="AK6" s="474"/>
      <c r="AL6" s="474"/>
      <c r="AM6" s="499">
        <v>2049.4</v>
      </c>
      <c r="AN6" s="475">
        <v>2247.4999999999995</v>
      </c>
      <c r="AO6" s="475">
        <v>2429.5</v>
      </c>
      <c r="AP6" s="475">
        <v>2504.3000000000011</v>
      </c>
      <c r="AQ6" s="500">
        <f>SUM(AM6:AP6)</f>
        <v>9230.7000000000007</v>
      </c>
      <c r="AR6" s="475"/>
      <c r="AS6" s="475"/>
      <c r="AT6" s="475"/>
      <c r="AU6" s="475"/>
      <c r="AV6" s="470"/>
      <c r="AW6" s="475">
        <v>2398.1999999999998</v>
      </c>
      <c r="AX6" s="475">
        <v>2468.8000000000002</v>
      </c>
      <c r="AY6" s="475">
        <v>2515.3000000000002</v>
      </c>
      <c r="AZ6" s="475">
        <v>2553.0999999999995</v>
      </c>
      <c r="BA6" s="478">
        <f>SUM(AW6:AZ6)</f>
        <v>9935.4</v>
      </c>
      <c r="BB6" s="499">
        <v>2453.4</v>
      </c>
      <c r="BC6" s="475">
        <v>2518.4999999999995</v>
      </c>
      <c r="BD6" s="475">
        <v>2590.3000000000002</v>
      </c>
      <c r="BE6" s="469">
        <v>2668.6</v>
      </c>
      <c r="BF6" s="500">
        <f>SUM(BB6:BE6)</f>
        <v>10230.799999999999</v>
      </c>
      <c r="BG6" s="475">
        <v>2551</v>
      </c>
      <c r="BH6" s="475">
        <v>2660.7</v>
      </c>
      <c r="BI6" s="475">
        <v>2592.3000000000002</v>
      </c>
      <c r="BJ6" s="469">
        <f>10454.7-SUM(BG6:BI6)</f>
        <v>2650.7000000000007</v>
      </c>
      <c r="BK6" s="500">
        <f>SUM(BG6:BJ6)</f>
        <v>10454.700000000001</v>
      </c>
      <c r="BL6" s="475">
        <v>2525.9</v>
      </c>
      <c r="BM6" s="469">
        <f>5196.8-BL6</f>
        <v>2670.9</v>
      </c>
      <c r="BN6" s="475">
        <f>7940.5-BM6-BL6</f>
        <v>2743.7000000000003</v>
      </c>
      <c r="BO6" s="469">
        <f>10681.6-BN6-BM6-BL6</f>
        <v>2741.1</v>
      </c>
      <c r="BP6" s="500">
        <f>SUM(BL6:BO6)</f>
        <v>10681.6</v>
      </c>
      <c r="BQ6" s="475">
        <v>2674.5</v>
      </c>
      <c r="BR6" s="469">
        <f>5374-BQ6</f>
        <v>2699.5</v>
      </c>
      <c r="BS6" s="475">
        <v>2644.6</v>
      </c>
      <c r="BT6" s="469">
        <v>2693.6000000000004</v>
      </c>
      <c r="BU6" s="823">
        <f>SUM(BQ6:BT6)</f>
        <v>10712.2</v>
      </c>
      <c r="BV6" s="475">
        <v>2575.5</v>
      </c>
      <c r="BW6" s="469">
        <v>2609.1999999999998</v>
      </c>
      <c r="BX6" s="475">
        <f>40.6+2641.2</f>
        <v>2681.7999999999997</v>
      </c>
      <c r="BY6" s="469">
        <v>2710.2000000000007</v>
      </c>
      <c r="BZ6" s="823">
        <f>SUM(BV6:BY6)</f>
        <v>10576.7</v>
      </c>
      <c r="CA6" s="475">
        <v>2613.5</v>
      </c>
      <c r="CB6" s="469"/>
      <c r="CC6" s="475"/>
      <c r="CD6" s="469"/>
      <c r="CE6" s="823">
        <f>SUM(CA6:CD6)</f>
        <v>2613.5</v>
      </c>
      <c r="CF6" s="479"/>
      <c r="CG6" s="479"/>
      <c r="CH6" s="479"/>
      <c r="CI6" s="479"/>
      <c r="CJ6" s="479"/>
      <c r="CK6" s="479"/>
      <c r="CL6" s="479"/>
      <c r="CM6" s="479"/>
      <c r="CN6" s="479"/>
      <c r="CO6" s="479"/>
      <c r="CP6" s="479"/>
      <c r="CQ6" s="479"/>
      <c r="CR6" s="479"/>
      <c r="CS6" s="479"/>
      <c r="CT6" s="479"/>
      <c r="CU6" s="479"/>
      <c r="CV6" s="479"/>
      <c r="CW6" s="479"/>
      <c r="CX6" s="479"/>
      <c r="CY6" s="479"/>
      <c r="CZ6" s="479"/>
      <c r="DA6" s="479"/>
      <c r="DB6" s="479"/>
      <c r="DC6" s="479"/>
      <c r="DD6" s="479"/>
      <c r="DE6" s="479"/>
      <c r="DF6" s="479"/>
      <c r="DG6" s="479"/>
      <c r="DH6" s="479"/>
      <c r="DI6" s="479"/>
      <c r="DJ6" s="479"/>
      <c r="DK6" s="479"/>
      <c r="DL6" s="479"/>
      <c r="DM6" s="479"/>
      <c r="DN6" s="479"/>
      <c r="DO6" s="479"/>
      <c r="DP6" s="479"/>
      <c r="DQ6" s="479"/>
      <c r="DR6" s="479"/>
      <c r="DS6" s="479"/>
      <c r="DT6" s="479"/>
      <c r="DU6" s="479"/>
      <c r="DV6" s="479"/>
      <c r="DW6" s="479"/>
      <c r="DX6" s="479"/>
      <c r="DY6" s="479"/>
      <c r="DZ6" s="479"/>
      <c r="EA6" s="479"/>
      <c r="EB6" s="479"/>
      <c r="EC6" s="479"/>
      <c r="ED6" s="479"/>
      <c r="EE6" s="479"/>
      <c r="EF6" s="479"/>
      <c r="EG6" s="479"/>
      <c r="EH6" s="479"/>
      <c r="EI6" s="479"/>
      <c r="EJ6" s="479"/>
      <c r="EK6" s="479"/>
      <c r="EL6" s="479"/>
      <c r="EM6" s="479"/>
      <c r="EN6" s="479"/>
      <c r="EO6" s="479"/>
      <c r="EP6" s="479"/>
      <c r="EQ6" s="479"/>
      <c r="ER6" s="479"/>
      <c r="ES6" s="479"/>
      <c r="ET6" s="479"/>
      <c r="EU6" s="479"/>
      <c r="EV6" s="479"/>
      <c r="EW6" s="479"/>
      <c r="EX6" s="479"/>
      <c r="EY6" s="479"/>
      <c r="EZ6" s="479"/>
      <c r="FA6" s="479"/>
      <c r="FB6" s="479"/>
      <c r="FC6" s="479"/>
      <c r="FD6" s="479"/>
      <c r="FE6" s="479"/>
      <c r="FF6" s="479"/>
      <c r="FG6" s="479"/>
      <c r="FH6" s="479"/>
      <c r="FI6" s="479"/>
      <c r="FJ6" s="479"/>
      <c r="FK6" s="479"/>
      <c r="FL6" s="479"/>
      <c r="FM6" s="479"/>
      <c r="FN6" s="479"/>
      <c r="FO6" s="479"/>
      <c r="FP6" s="479"/>
      <c r="FQ6" s="479"/>
      <c r="FR6" s="479"/>
      <c r="FS6" s="479"/>
      <c r="FT6" s="479"/>
      <c r="FU6" s="479"/>
      <c r="FV6" s="479"/>
      <c r="FW6" s="479"/>
      <c r="FX6" s="479"/>
      <c r="FY6" s="479"/>
      <c r="FZ6" s="479"/>
      <c r="GA6" s="479"/>
      <c r="GB6" s="479"/>
      <c r="GC6" s="479"/>
      <c r="GD6" s="479"/>
      <c r="GE6" s="479"/>
      <c r="GF6" s="479"/>
      <c r="GG6" s="479"/>
      <c r="GH6" s="479"/>
      <c r="GI6" s="479"/>
      <c r="GJ6" s="479"/>
      <c r="GK6" s="479"/>
      <c r="GL6" s="479"/>
      <c r="GM6" s="479"/>
      <c r="GN6" s="479"/>
      <c r="GO6" s="479"/>
      <c r="GP6" s="479"/>
      <c r="GQ6" s="479"/>
      <c r="GR6" s="479"/>
      <c r="GS6" s="479"/>
      <c r="GT6" s="479"/>
      <c r="GU6" s="479"/>
      <c r="GV6" s="479"/>
      <c r="GW6" s="479"/>
      <c r="GX6" s="479"/>
      <c r="GY6" s="479"/>
      <c r="GZ6" s="479"/>
      <c r="HA6" s="479"/>
      <c r="HB6" s="479"/>
      <c r="HC6" s="479"/>
      <c r="HD6" s="479"/>
      <c r="HE6" s="479"/>
      <c r="HF6" s="479"/>
      <c r="HG6" s="479"/>
      <c r="HH6" s="479"/>
      <c r="HI6" s="479"/>
      <c r="HJ6" s="479"/>
      <c r="HK6" s="479"/>
      <c r="HL6" s="479"/>
      <c r="HM6" s="479"/>
      <c r="HN6" s="479"/>
      <c r="HO6" s="479"/>
      <c r="HP6" s="479"/>
      <c r="HQ6" s="479"/>
      <c r="HR6" s="479"/>
      <c r="HS6" s="479"/>
      <c r="HT6" s="479"/>
      <c r="HU6" s="479"/>
      <c r="HV6" s="479"/>
      <c r="HW6" s="479"/>
      <c r="HX6" s="479"/>
      <c r="HY6" s="479"/>
      <c r="HZ6" s="479"/>
      <c r="IA6" s="479"/>
      <c r="IB6" s="479"/>
      <c r="IC6" s="479"/>
      <c r="ID6" s="479"/>
      <c r="IE6" s="479"/>
      <c r="IF6" s="479"/>
      <c r="IG6" s="479"/>
      <c r="IH6" s="479"/>
      <c r="II6" s="479"/>
      <c r="IJ6" s="479"/>
      <c r="IK6" s="479"/>
      <c r="IL6" s="479"/>
      <c r="IM6" s="479"/>
      <c r="IN6" s="479"/>
      <c r="IO6" s="479"/>
      <c r="IP6" s="479"/>
      <c r="IQ6" s="479"/>
      <c r="IR6" s="479"/>
      <c r="IS6" s="479"/>
      <c r="IT6" s="479"/>
      <c r="IU6" s="479"/>
      <c r="IV6" s="479"/>
      <c r="IW6" s="479"/>
      <c r="IX6" s="479"/>
      <c r="IY6" s="479"/>
      <c r="IZ6" s="479"/>
      <c r="JA6" s="479"/>
      <c r="JB6" s="479"/>
      <c r="JC6" s="479"/>
      <c r="JD6" s="479"/>
      <c r="JE6" s="479"/>
      <c r="JF6" s="479"/>
      <c r="JG6" s="479"/>
      <c r="JH6" s="479"/>
      <c r="JI6" s="479"/>
      <c r="JJ6" s="479"/>
      <c r="JK6" s="479"/>
      <c r="JL6" s="479"/>
      <c r="JM6" s="479"/>
      <c r="JN6" s="479"/>
      <c r="JO6" s="479"/>
      <c r="JP6" s="479"/>
      <c r="JQ6" s="479"/>
      <c r="JR6" s="479"/>
      <c r="JS6" s="479"/>
      <c r="JT6" s="479"/>
      <c r="JU6" s="479"/>
      <c r="JV6" s="479"/>
      <c r="JW6" s="479"/>
      <c r="JX6" s="479"/>
      <c r="JY6" s="479"/>
      <c r="JZ6" s="479"/>
      <c r="KA6" s="479"/>
      <c r="KB6" s="479"/>
      <c r="KC6" s="479"/>
      <c r="KD6" s="479"/>
      <c r="KE6" s="479"/>
      <c r="KF6" s="479"/>
      <c r="KG6" s="479"/>
      <c r="KH6" s="479"/>
      <c r="KI6" s="479"/>
      <c r="KJ6" s="479"/>
      <c r="KK6" s="479"/>
      <c r="KL6" s="479"/>
      <c r="KM6" s="479"/>
      <c r="KN6" s="479"/>
      <c r="KO6" s="479"/>
      <c r="KP6" s="479"/>
      <c r="KQ6" s="479"/>
      <c r="KR6" s="479"/>
      <c r="KS6" s="479"/>
      <c r="KT6" s="479"/>
      <c r="KU6" s="479"/>
      <c r="KV6" s="479"/>
      <c r="KW6" s="479"/>
      <c r="KX6" s="479"/>
      <c r="KY6" s="479"/>
      <c r="KZ6" s="479"/>
      <c r="LA6" s="479"/>
      <c r="LB6" s="479"/>
      <c r="LC6" s="479"/>
      <c r="LD6" s="479"/>
      <c r="LE6" s="479"/>
      <c r="LF6" s="479"/>
      <c r="LG6" s="479"/>
      <c r="LH6" s="479"/>
      <c r="LI6" s="479"/>
      <c r="LJ6" s="479"/>
      <c r="LK6" s="479"/>
      <c r="LL6" s="479"/>
      <c r="LM6" s="479"/>
      <c r="LN6" s="479"/>
      <c r="LO6" s="479"/>
      <c r="LP6" s="479"/>
      <c r="LQ6" s="479"/>
      <c r="LR6" s="479"/>
      <c r="LS6" s="479"/>
      <c r="LT6" s="479"/>
      <c r="LU6" s="479"/>
      <c r="LV6" s="479"/>
      <c r="LW6" s="479"/>
      <c r="LX6" s="479"/>
      <c r="LY6" s="479"/>
      <c r="LZ6" s="479"/>
      <c r="MA6" s="479"/>
      <c r="MB6" s="479"/>
      <c r="MC6" s="479"/>
      <c r="MD6" s="479"/>
      <c r="ME6" s="479"/>
      <c r="MF6" s="479"/>
      <c r="MG6" s="479"/>
      <c r="MH6" s="479"/>
      <c r="MI6" s="479"/>
      <c r="MJ6" s="479"/>
      <c r="MK6" s="479"/>
      <c r="ML6" s="479"/>
      <c r="MM6" s="479"/>
      <c r="MN6" s="479"/>
      <c r="MO6" s="479"/>
      <c r="MP6" s="479"/>
      <c r="MQ6" s="479"/>
      <c r="MR6" s="479"/>
      <c r="MS6" s="479"/>
      <c r="MT6" s="479"/>
      <c r="MU6" s="479"/>
      <c r="MV6" s="479"/>
      <c r="MW6" s="479"/>
      <c r="MX6" s="479"/>
      <c r="MY6" s="479"/>
      <c r="MZ6" s="479"/>
      <c r="NA6" s="479"/>
      <c r="NB6" s="479"/>
      <c r="NC6" s="479"/>
      <c r="ND6" s="479"/>
      <c r="NE6" s="479"/>
      <c r="NF6" s="479"/>
      <c r="NG6" s="479"/>
      <c r="NH6" s="479"/>
      <c r="NI6" s="479"/>
      <c r="NJ6" s="479"/>
      <c r="NK6" s="479"/>
      <c r="NL6" s="479"/>
      <c r="NM6" s="479"/>
      <c r="NN6" s="479"/>
      <c r="NO6" s="479"/>
      <c r="NP6" s="479"/>
      <c r="NQ6" s="479"/>
      <c r="NR6" s="479"/>
      <c r="NS6" s="479"/>
      <c r="NT6" s="479"/>
      <c r="NU6" s="479"/>
      <c r="NV6" s="479"/>
      <c r="NW6" s="479"/>
      <c r="NX6" s="479"/>
      <c r="NY6" s="479"/>
      <c r="NZ6" s="479"/>
      <c r="OA6" s="479"/>
      <c r="OB6" s="479"/>
      <c r="OC6" s="479"/>
      <c r="OD6" s="479"/>
      <c r="OE6" s="479"/>
      <c r="OF6" s="479"/>
      <c r="OG6" s="479"/>
      <c r="OH6" s="479"/>
      <c r="OI6" s="479"/>
      <c r="OJ6" s="479"/>
      <c r="OK6" s="479"/>
      <c r="OL6" s="479"/>
      <c r="OM6" s="479"/>
      <c r="ON6" s="479"/>
      <c r="OO6" s="479"/>
      <c r="OP6" s="479"/>
      <c r="OQ6" s="479"/>
      <c r="OR6" s="479"/>
      <c r="OS6" s="479"/>
      <c r="OT6" s="479"/>
      <c r="OU6" s="479"/>
      <c r="OV6" s="479"/>
      <c r="OW6" s="479"/>
      <c r="OX6" s="479"/>
      <c r="OY6" s="479"/>
      <c r="OZ6" s="479"/>
      <c r="PA6" s="479"/>
      <c r="PB6" s="479"/>
      <c r="PC6" s="479"/>
      <c r="PD6" s="479"/>
      <c r="PE6" s="479"/>
      <c r="PF6" s="479"/>
      <c r="PG6" s="479"/>
      <c r="PH6" s="479"/>
      <c r="PI6" s="479"/>
      <c r="PJ6" s="479"/>
      <c r="PK6" s="479"/>
      <c r="PL6" s="479"/>
      <c r="PM6" s="479"/>
      <c r="PN6" s="479"/>
      <c r="PO6" s="479"/>
      <c r="PP6" s="479"/>
      <c r="PQ6" s="479"/>
      <c r="PR6" s="479"/>
      <c r="PS6" s="479"/>
      <c r="PT6" s="479"/>
      <c r="PU6" s="479"/>
      <c r="PV6" s="479"/>
      <c r="PW6" s="479"/>
      <c r="PX6" s="479"/>
      <c r="PY6" s="479"/>
      <c r="PZ6" s="479"/>
      <c r="QA6" s="479"/>
      <c r="QB6" s="479"/>
      <c r="QC6" s="479"/>
      <c r="QD6" s="479"/>
      <c r="QE6" s="479"/>
      <c r="QF6" s="479"/>
      <c r="QG6" s="479"/>
      <c r="QH6" s="479"/>
      <c r="QI6" s="479"/>
      <c r="QJ6" s="479"/>
      <c r="QK6" s="479"/>
      <c r="QL6" s="479"/>
      <c r="QM6" s="479"/>
      <c r="QN6" s="479"/>
      <c r="QO6" s="479"/>
      <c r="QP6" s="479"/>
      <c r="QQ6" s="479"/>
      <c r="QR6" s="479"/>
      <c r="QS6" s="479"/>
      <c r="QT6" s="479"/>
      <c r="QU6" s="479"/>
      <c r="QV6" s="479"/>
      <c r="QW6" s="479"/>
      <c r="QX6" s="479"/>
      <c r="QY6" s="479"/>
      <c r="QZ6" s="479"/>
      <c r="RA6" s="479"/>
      <c r="RB6" s="479"/>
      <c r="RC6" s="479"/>
      <c r="RD6" s="479"/>
      <c r="RE6" s="479"/>
      <c r="RF6" s="479"/>
      <c r="RG6" s="479"/>
      <c r="RH6" s="479"/>
      <c r="RI6" s="479"/>
      <c r="RJ6" s="479"/>
      <c r="RK6" s="479"/>
      <c r="RL6" s="479"/>
      <c r="RM6" s="479"/>
      <c r="RN6" s="479"/>
      <c r="RO6" s="479"/>
      <c r="RP6" s="479"/>
      <c r="RQ6" s="479"/>
      <c r="RR6" s="479"/>
      <c r="RS6" s="479"/>
      <c r="RT6" s="479"/>
      <c r="RU6" s="479"/>
      <c r="RV6" s="479"/>
      <c r="RW6" s="479"/>
      <c r="RX6" s="479"/>
    </row>
    <row r="7" spans="1:492" s="480" customFormat="1" ht="20.149999999999999" customHeight="1">
      <c r="A7" s="489" t="s">
        <v>458</v>
      </c>
      <c r="B7" s="510" t="s">
        <v>459</v>
      </c>
      <c r="C7" s="474"/>
      <c r="D7" s="474"/>
      <c r="E7" s="474"/>
      <c r="F7" s="474"/>
      <c r="G7" s="474"/>
      <c r="H7" s="474"/>
      <c r="I7" s="474"/>
      <c r="J7" s="474"/>
      <c r="K7" s="474"/>
      <c r="L7" s="474"/>
      <c r="M7" s="474"/>
      <c r="N7" s="474"/>
      <c r="O7" s="474"/>
      <c r="P7" s="474"/>
      <c r="Q7" s="474"/>
      <c r="R7" s="474"/>
      <c r="S7" s="474"/>
      <c r="T7" s="474"/>
      <c r="U7" s="474"/>
      <c r="V7" s="474"/>
      <c r="W7" s="474"/>
      <c r="X7" s="474"/>
      <c r="Y7" s="474"/>
      <c r="Z7" s="474"/>
      <c r="AA7" s="474"/>
      <c r="AB7" s="474"/>
      <c r="AC7" s="474"/>
      <c r="AD7" s="474"/>
      <c r="AE7" s="474"/>
      <c r="AF7" s="474"/>
      <c r="AG7" s="474"/>
      <c r="AH7" s="474"/>
      <c r="AI7" s="474"/>
      <c r="AJ7" s="474"/>
      <c r="AK7" s="474"/>
      <c r="AL7" s="474"/>
      <c r="AM7" s="499">
        <v>349.6</v>
      </c>
      <c r="AN7" s="475">
        <v>412.69999999999993</v>
      </c>
      <c r="AO7" s="475">
        <v>375.20000000000005</v>
      </c>
      <c r="AP7" s="475">
        <v>558.40000000000009</v>
      </c>
      <c r="AQ7" s="500">
        <f t="shared" ref="AQ7:AQ10" si="5">SUM(AM7:AP7)</f>
        <v>1695.9</v>
      </c>
      <c r="AR7" s="475"/>
      <c r="AS7" s="475"/>
      <c r="AT7" s="475"/>
      <c r="AU7" s="475"/>
      <c r="AV7" s="470"/>
      <c r="AW7" s="475">
        <v>454.6</v>
      </c>
      <c r="AX7" s="475">
        <v>520.19999999999993</v>
      </c>
      <c r="AY7" s="475">
        <v>440.70000000000005</v>
      </c>
      <c r="AZ7" s="475">
        <v>582.40000000000009</v>
      </c>
      <c r="BA7" s="478">
        <f t="shared" ref="BA7:BA10" si="6">SUM(AW7:AZ7)</f>
        <v>1997.9</v>
      </c>
      <c r="BB7" s="499">
        <v>460.6</v>
      </c>
      <c r="BC7" s="475">
        <v>412.19999999999993</v>
      </c>
      <c r="BD7" s="475">
        <v>481.90000000000009</v>
      </c>
      <c r="BE7" s="469">
        <v>652.20000000000005</v>
      </c>
      <c r="BF7" s="500">
        <f t="shared" ref="BF7:BF10" si="7">SUM(BB7:BE7)</f>
        <v>2006.9</v>
      </c>
      <c r="BG7" s="475">
        <v>507.2</v>
      </c>
      <c r="BH7" s="475">
        <v>570</v>
      </c>
      <c r="BI7" s="475">
        <v>499.50000000000006</v>
      </c>
      <c r="BJ7" s="469">
        <f>2264.1-SUM(BG7:BI7)</f>
        <v>687.39999999999986</v>
      </c>
      <c r="BK7" s="500">
        <f t="shared" ref="BK7:BK10" si="8">SUM(BG7:BJ7)</f>
        <v>2264.1</v>
      </c>
      <c r="BL7" s="475">
        <v>533.5</v>
      </c>
      <c r="BM7" s="469">
        <f>1140-BL7</f>
        <v>606.5</v>
      </c>
      <c r="BN7" s="475">
        <f>1693.5-BM7-BL7</f>
        <v>553.5</v>
      </c>
      <c r="BO7" s="469">
        <f>2424.2-BN7-BM7-BL7</f>
        <v>730.69999999999982</v>
      </c>
      <c r="BP7" s="500">
        <f t="shared" ref="BP7:BP10" si="9">SUM(BL7:BO7)</f>
        <v>2424.1999999999998</v>
      </c>
      <c r="BQ7" s="475">
        <v>567.9</v>
      </c>
      <c r="BR7" s="469">
        <f>1206.7-BQ7</f>
        <v>638.80000000000007</v>
      </c>
      <c r="BS7" s="475">
        <v>559.69999999999993</v>
      </c>
      <c r="BT7" s="469">
        <v>703.59999999999991</v>
      </c>
      <c r="BU7" s="823">
        <f t="shared" ref="BU7:BU10" si="10">SUM(BQ7:BT7)</f>
        <v>2470</v>
      </c>
      <c r="BV7" s="475">
        <v>585.29999999999995</v>
      </c>
      <c r="BW7" s="469">
        <v>663</v>
      </c>
      <c r="BX7" s="475">
        <f>224.7+320.8</f>
        <v>545.5</v>
      </c>
      <c r="BY7" s="469">
        <v>697.8</v>
      </c>
      <c r="BZ7" s="823">
        <f t="shared" ref="BZ7:BZ10" si="11">SUM(BV7:BY7)</f>
        <v>2491.6</v>
      </c>
      <c r="CA7" s="475">
        <v>578.4</v>
      </c>
      <c r="CB7" s="469"/>
      <c r="CC7" s="475"/>
      <c r="CD7" s="469"/>
      <c r="CE7" s="823">
        <f t="shared" ref="CE7:CE10" si="12">SUM(CA7:CD7)</f>
        <v>578.4</v>
      </c>
      <c r="CF7" s="479"/>
      <c r="CG7" s="479"/>
      <c r="CH7" s="479"/>
      <c r="CI7" s="479"/>
      <c r="CJ7" s="479"/>
      <c r="CK7" s="479"/>
      <c r="CL7" s="479"/>
      <c r="CM7" s="479"/>
      <c r="CN7" s="479"/>
      <c r="CO7" s="479"/>
      <c r="CP7" s="479"/>
      <c r="CQ7" s="479"/>
      <c r="CR7" s="479"/>
      <c r="CS7" s="479"/>
      <c r="CT7" s="479"/>
      <c r="CU7" s="479"/>
      <c r="CV7" s="479"/>
      <c r="CW7" s="479"/>
      <c r="CX7" s="479"/>
      <c r="CY7" s="479"/>
      <c r="CZ7" s="479"/>
      <c r="DA7" s="479"/>
      <c r="DB7" s="479"/>
      <c r="DC7" s="479"/>
      <c r="DD7" s="479"/>
      <c r="DE7" s="479"/>
      <c r="DF7" s="479"/>
      <c r="DG7" s="479"/>
      <c r="DH7" s="479"/>
      <c r="DI7" s="479"/>
      <c r="DJ7" s="479"/>
      <c r="DK7" s="479"/>
      <c r="DL7" s="479"/>
      <c r="DM7" s="479"/>
      <c r="DN7" s="479"/>
      <c r="DO7" s="479"/>
      <c r="DP7" s="479"/>
      <c r="DQ7" s="479"/>
      <c r="DR7" s="479"/>
      <c r="DS7" s="479"/>
      <c r="DT7" s="479"/>
      <c r="DU7" s="479"/>
      <c r="DV7" s="479"/>
      <c r="DW7" s="479"/>
      <c r="DX7" s="479"/>
      <c r="DY7" s="479"/>
      <c r="DZ7" s="479"/>
      <c r="EA7" s="479"/>
      <c r="EB7" s="479"/>
      <c r="EC7" s="479"/>
      <c r="ED7" s="479"/>
      <c r="EE7" s="479"/>
      <c r="EF7" s="479"/>
      <c r="EG7" s="479"/>
      <c r="EH7" s="479"/>
      <c r="EI7" s="479"/>
      <c r="EJ7" s="479"/>
      <c r="EK7" s="479"/>
      <c r="EL7" s="479"/>
      <c r="EM7" s="479"/>
      <c r="EN7" s="479"/>
      <c r="EO7" s="479"/>
      <c r="EP7" s="479"/>
      <c r="EQ7" s="479"/>
      <c r="ER7" s="479"/>
      <c r="ES7" s="479"/>
      <c r="ET7" s="479"/>
      <c r="EU7" s="479"/>
      <c r="EV7" s="479"/>
      <c r="EW7" s="479"/>
      <c r="EX7" s="479"/>
      <c r="EY7" s="479"/>
      <c r="EZ7" s="479"/>
      <c r="FA7" s="479"/>
      <c r="FB7" s="479"/>
      <c r="FC7" s="479"/>
      <c r="FD7" s="479"/>
      <c r="FE7" s="479"/>
      <c r="FF7" s="479"/>
      <c r="FG7" s="479"/>
      <c r="FH7" s="479"/>
      <c r="FI7" s="479"/>
      <c r="FJ7" s="479"/>
      <c r="FK7" s="479"/>
      <c r="FL7" s="479"/>
      <c r="FM7" s="479"/>
      <c r="FN7" s="479"/>
      <c r="FO7" s="479"/>
      <c r="FP7" s="479"/>
      <c r="FQ7" s="479"/>
      <c r="FR7" s="479"/>
      <c r="FS7" s="479"/>
      <c r="FT7" s="479"/>
      <c r="FU7" s="479"/>
      <c r="FV7" s="479"/>
      <c r="FW7" s="479"/>
      <c r="FX7" s="479"/>
      <c r="FY7" s="479"/>
      <c r="FZ7" s="479"/>
      <c r="GA7" s="479"/>
      <c r="GB7" s="479"/>
      <c r="GC7" s="479"/>
      <c r="GD7" s="479"/>
      <c r="GE7" s="479"/>
      <c r="GF7" s="479"/>
      <c r="GG7" s="479"/>
      <c r="GH7" s="479"/>
      <c r="GI7" s="479"/>
      <c r="GJ7" s="479"/>
      <c r="GK7" s="479"/>
      <c r="GL7" s="479"/>
      <c r="GM7" s="479"/>
      <c r="GN7" s="479"/>
      <c r="GO7" s="479"/>
      <c r="GP7" s="479"/>
      <c r="GQ7" s="479"/>
      <c r="GR7" s="479"/>
      <c r="GS7" s="479"/>
      <c r="GT7" s="479"/>
      <c r="GU7" s="479"/>
      <c r="GV7" s="479"/>
      <c r="GW7" s="479"/>
      <c r="GX7" s="479"/>
      <c r="GY7" s="479"/>
      <c r="GZ7" s="479"/>
      <c r="HA7" s="479"/>
      <c r="HB7" s="479"/>
      <c r="HC7" s="479"/>
      <c r="HD7" s="479"/>
      <c r="HE7" s="479"/>
      <c r="HF7" s="479"/>
      <c r="HG7" s="479"/>
      <c r="HH7" s="479"/>
      <c r="HI7" s="479"/>
      <c r="HJ7" s="479"/>
      <c r="HK7" s="479"/>
      <c r="HL7" s="479"/>
      <c r="HM7" s="479"/>
      <c r="HN7" s="479"/>
      <c r="HO7" s="479"/>
      <c r="HP7" s="479"/>
      <c r="HQ7" s="479"/>
      <c r="HR7" s="479"/>
      <c r="HS7" s="479"/>
      <c r="HT7" s="479"/>
      <c r="HU7" s="479"/>
      <c r="HV7" s="479"/>
      <c r="HW7" s="479"/>
      <c r="HX7" s="479"/>
      <c r="HY7" s="479"/>
      <c r="HZ7" s="479"/>
      <c r="IA7" s="479"/>
      <c r="IB7" s="479"/>
      <c r="IC7" s="479"/>
      <c r="ID7" s="479"/>
      <c r="IE7" s="479"/>
      <c r="IF7" s="479"/>
      <c r="IG7" s="479"/>
      <c r="IH7" s="479"/>
      <c r="II7" s="479"/>
      <c r="IJ7" s="479"/>
      <c r="IK7" s="479"/>
      <c r="IL7" s="479"/>
      <c r="IM7" s="479"/>
      <c r="IN7" s="479"/>
      <c r="IO7" s="479"/>
      <c r="IP7" s="479"/>
      <c r="IQ7" s="479"/>
      <c r="IR7" s="479"/>
      <c r="IS7" s="479"/>
      <c r="IT7" s="479"/>
      <c r="IU7" s="479"/>
      <c r="IV7" s="479"/>
      <c r="IW7" s="479"/>
      <c r="IX7" s="479"/>
      <c r="IY7" s="479"/>
      <c r="IZ7" s="479"/>
      <c r="JA7" s="479"/>
      <c r="JB7" s="479"/>
      <c r="JC7" s="479"/>
      <c r="JD7" s="479"/>
      <c r="JE7" s="479"/>
      <c r="JF7" s="479"/>
      <c r="JG7" s="479"/>
      <c r="JH7" s="479"/>
      <c r="JI7" s="479"/>
      <c r="JJ7" s="479"/>
      <c r="JK7" s="479"/>
      <c r="JL7" s="479"/>
      <c r="JM7" s="479"/>
      <c r="JN7" s="479"/>
      <c r="JO7" s="479"/>
      <c r="JP7" s="479"/>
      <c r="JQ7" s="479"/>
      <c r="JR7" s="479"/>
      <c r="JS7" s="479"/>
      <c r="JT7" s="479"/>
      <c r="JU7" s="479"/>
      <c r="JV7" s="479"/>
      <c r="JW7" s="479"/>
      <c r="JX7" s="479"/>
      <c r="JY7" s="479"/>
      <c r="JZ7" s="479"/>
      <c r="KA7" s="479"/>
      <c r="KB7" s="479"/>
      <c r="KC7" s="479"/>
      <c r="KD7" s="479"/>
      <c r="KE7" s="479"/>
      <c r="KF7" s="479"/>
      <c r="KG7" s="479"/>
      <c r="KH7" s="479"/>
      <c r="KI7" s="479"/>
      <c r="KJ7" s="479"/>
      <c r="KK7" s="479"/>
      <c r="KL7" s="479"/>
      <c r="KM7" s="479"/>
      <c r="KN7" s="479"/>
      <c r="KO7" s="479"/>
      <c r="KP7" s="479"/>
      <c r="KQ7" s="479"/>
      <c r="KR7" s="479"/>
      <c r="KS7" s="479"/>
      <c r="KT7" s="479"/>
      <c r="KU7" s="479"/>
      <c r="KV7" s="479"/>
      <c r="KW7" s="479"/>
      <c r="KX7" s="479"/>
      <c r="KY7" s="479"/>
      <c r="KZ7" s="479"/>
      <c r="LA7" s="479"/>
      <c r="LB7" s="479"/>
      <c r="LC7" s="479"/>
      <c r="LD7" s="479"/>
      <c r="LE7" s="479"/>
      <c r="LF7" s="479"/>
      <c r="LG7" s="479"/>
      <c r="LH7" s="479"/>
      <c r="LI7" s="479"/>
      <c r="LJ7" s="479"/>
      <c r="LK7" s="479"/>
      <c r="LL7" s="479"/>
      <c r="LM7" s="479"/>
      <c r="LN7" s="479"/>
      <c r="LO7" s="479"/>
      <c r="LP7" s="479"/>
      <c r="LQ7" s="479"/>
      <c r="LR7" s="479"/>
      <c r="LS7" s="479"/>
      <c r="LT7" s="479"/>
      <c r="LU7" s="479"/>
      <c r="LV7" s="479"/>
      <c r="LW7" s="479"/>
      <c r="LX7" s="479"/>
      <c r="LY7" s="479"/>
      <c r="LZ7" s="479"/>
      <c r="MA7" s="479"/>
      <c r="MB7" s="479"/>
      <c r="MC7" s="479"/>
      <c r="MD7" s="479"/>
      <c r="ME7" s="479"/>
      <c r="MF7" s="479"/>
      <c r="MG7" s="479"/>
      <c r="MH7" s="479"/>
      <c r="MI7" s="479"/>
      <c r="MJ7" s="479"/>
      <c r="MK7" s="479"/>
      <c r="ML7" s="479"/>
      <c r="MM7" s="479"/>
      <c r="MN7" s="479"/>
      <c r="MO7" s="479"/>
      <c r="MP7" s="479"/>
      <c r="MQ7" s="479"/>
      <c r="MR7" s="479"/>
      <c r="MS7" s="479"/>
      <c r="MT7" s="479"/>
      <c r="MU7" s="479"/>
      <c r="MV7" s="479"/>
      <c r="MW7" s="479"/>
      <c r="MX7" s="479"/>
      <c r="MY7" s="479"/>
      <c r="MZ7" s="479"/>
      <c r="NA7" s="479"/>
      <c r="NB7" s="479"/>
      <c r="NC7" s="479"/>
      <c r="ND7" s="479"/>
      <c r="NE7" s="479"/>
      <c r="NF7" s="479"/>
      <c r="NG7" s="479"/>
      <c r="NH7" s="479"/>
      <c r="NI7" s="479"/>
      <c r="NJ7" s="479"/>
      <c r="NK7" s="479"/>
      <c r="NL7" s="479"/>
      <c r="NM7" s="479"/>
      <c r="NN7" s="479"/>
      <c r="NO7" s="479"/>
      <c r="NP7" s="479"/>
      <c r="NQ7" s="479"/>
      <c r="NR7" s="479"/>
      <c r="NS7" s="479"/>
      <c r="NT7" s="479"/>
      <c r="NU7" s="479"/>
      <c r="NV7" s="479"/>
      <c r="NW7" s="479"/>
      <c r="NX7" s="479"/>
      <c r="NY7" s="479"/>
      <c r="NZ7" s="479"/>
      <c r="OA7" s="479"/>
      <c r="OB7" s="479"/>
      <c r="OC7" s="479"/>
      <c r="OD7" s="479"/>
      <c r="OE7" s="479"/>
      <c r="OF7" s="479"/>
      <c r="OG7" s="479"/>
      <c r="OH7" s="479"/>
      <c r="OI7" s="479"/>
      <c r="OJ7" s="479"/>
      <c r="OK7" s="479"/>
      <c r="OL7" s="479"/>
      <c r="OM7" s="479"/>
      <c r="ON7" s="479"/>
      <c r="OO7" s="479"/>
      <c r="OP7" s="479"/>
      <c r="OQ7" s="479"/>
      <c r="OR7" s="479"/>
      <c r="OS7" s="479"/>
      <c r="OT7" s="479"/>
      <c r="OU7" s="479"/>
      <c r="OV7" s="479"/>
      <c r="OW7" s="479"/>
      <c r="OX7" s="479"/>
      <c r="OY7" s="479"/>
      <c r="OZ7" s="479"/>
      <c r="PA7" s="479"/>
      <c r="PB7" s="479"/>
      <c r="PC7" s="479"/>
      <c r="PD7" s="479"/>
      <c r="PE7" s="479"/>
      <c r="PF7" s="479"/>
      <c r="PG7" s="479"/>
      <c r="PH7" s="479"/>
      <c r="PI7" s="479"/>
      <c r="PJ7" s="479"/>
      <c r="PK7" s="479"/>
      <c r="PL7" s="479"/>
      <c r="PM7" s="479"/>
      <c r="PN7" s="479"/>
      <c r="PO7" s="479"/>
      <c r="PP7" s="479"/>
      <c r="PQ7" s="479"/>
      <c r="PR7" s="479"/>
      <c r="PS7" s="479"/>
      <c r="PT7" s="479"/>
      <c r="PU7" s="479"/>
      <c r="PV7" s="479"/>
      <c r="PW7" s="479"/>
      <c r="PX7" s="479"/>
      <c r="PY7" s="479"/>
      <c r="PZ7" s="479"/>
      <c r="QA7" s="479"/>
      <c r="QB7" s="479"/>
      <c r="QC7" s="479"/>
      <c r="QD7" s="479"/>
      <c r="QE7" s="479"/>
      <c r="QF7" s="479"/>
      <c r="QG7" s="479"/>
      <c r="QH7" s="479"/>
      <c r="QI7" s="479"/>
      <c r="QJ7" s="479"/>
      <c r="QK7" s="479"/>
      <c r="QL7" s="479"/>
      <c r="QM7" s="479"/>
      <c r="QN7" s="479"/>
      <c r="QO7" s="479"/>
      <c r="QP7" s="479"/>
      <c r="QQ7" s="479"/>
      <c r="QR7" s="479"/>
      <c r="QS7" s="479"/>
      <c r="QT7" s="479"/>
      <c r="QU7" s="479"/>
      <c r="QV7" s="479"/>
      <c r="QW7" s="479"/>
      <c r="QX7" s="479"/>
      <c r="QY7" s="479"/>
      <c r="QZ7" s="479"/>
      <c r="RA7" s="479"/>
      <c r="RB7" s="479"/>
      <c r="RC7" s="479"/>
      <c r="RD7" s="479"/>
      <c r="RE7" s="479"/>
      <c r="RF7" s="479"/>
      <c r="RG7" s="479"/>
      <c r="RH7" s="479"/>
      <c r="RI7" s="479"/>
      <c r="RJ7" s="479"/>
      <c r="RK7" s="479"/>
      <c r="RL7" s="479"/>
      <c r="RM7" s="479"/>
      <c r="RN7" s="479"/>
      <c r="RO7" s="479"/>
      <c r="RP7" s="479"/>
      <c r="RQ7" s="479"/>
      <c r="RR7" s="479"/>
      <c r="RS7" s="479"/>
      <c r="RT7" s="479"/>
      <c r="RU7" s="479"/>
      <c r="RV7" s="479"/>
      <c r="RW7" s="479"/>
      <c r="RX7" s="479"/>
    </row>
    <row r="8" spans="1:492" s="480" customFormat="1" ht="20.149999999999999" customHeight="1">
      <c r="A8" s="489" t="s">
        <v>460</v>
      </c>
      <c r="B8" s="510" t="s">
        <v>461</v>
      </c>
      <c r="C8" s="474"/>
      <c r="D8" s="474"/>
      <c r="E8" s="474"/>
      <c r="F8" s="474"/>
      <c r="G8" s="474"/>
      <c r="H8" s="474"/>
      <c r="I8" s="474"/>
      <c r="J8" s="474"/>
      <c r="K8" s="474"/>
      <c r="L8" s="474"/>
      <c r="M8" s="474"/>
      <c r="N8" s="474"/>
      <c r="O8" s="474"/>
      <c r="P8" s="474"/>
      <c r="Q8" s="474"/>
      <c r="R8" s="474"/>
      <c r="S8" s="474"/>
      <c r="T8" s="474"/>
      <c r="U8" s="474"/>
      <c r="V8" s="474"/>
      <c r="W8" s="474"/>
      <c r="X8" s="474"/>
      <c r="Y8" s="474"/>
      <c r="Z8" s="474"/>
      <c r="AA8" s="474"/>
      <c r="AB8" s="474"/>
      <c r="AC8" s="474"/>
      <c r="AD8" s="474"/>
      <c r="AE8" s="474"/>
      <c r="AF8" s="474"/>
      <c r="AG8" s="474"/>
      <c r="AH8" s="474"/>
      <c r="AI8" s="474"/>
      <c r="AJ8" s="474"/>
      <c r="AK8" s="474"/>
      <c r="AL8" s="474"/>
      <c r="AM8" s="499"/>
      <c r="AN8" s="475"/>
      <c r="AO8" s="475"/>
      <c r="AP8" s="475"/>
      <c r="AQ8" s="500"/>
      <c r="AR8" s="475"/>
      <c r="AS8" s="475"/>
      <c r="AT8" s="475"/>
      <c r="AU8" s="475"/>
      <c r="AV8" s="470"/>
      <c r="AW8" s="475"/>
      <c r="AX8" s="475"/>
      <c r="AY8" s="475"/>
      <c r="AZ8" s="475"/>
      <c r="BA8" s="478"/>
      <c r="BB8" s="499"/>
      <c r="BC8" s="475"/>
      <c r="BD8" s="475"/>
      <c r="BE8" s="469"/>
      <c r="BF8" s="500"/>
      <c r="BG8" s="475"/>
      <c r="BH8" s="475"/>
      <c r="BI8" s="475"/>
      <c r="BJ8" s="469"/>
      <c r="BK8" s="500"/>
      <c r="BL8" s="475"/>
      <c r="BM8" s="469">
        <v>44.3</v>
      </c>
      <c r="BN8" s="475">
        <f>118.1-BM8-BL8</f>
        <v>73.8</v>
      </c>
      <c r="BO8" s="469">
        <f>183.4-BN8-BM8</f>
        <v>65.300000000000011</v>
      </c>
      <c r="BP8" s="500">
        <f t="shared" si="9"/>
        <v>183.4</v>
      </c>
      <c r="BQ8" s="475">
        <v>44.8</v>
      </c>
      <c r="BR8" s="469">
        <f>83.8-BQ8</f>
        <v>39</v>
      </c>
      <c r="BS8" s="475">
        <v>40.1</v>
      </c>
      <c r="BT8" s="469">
        <v>58.299999999999983</v>
      </c>
      <c r="BU8" s="823">
        <f t="shared" si="10"/>
        <v>182.2</v>
      </c>
      <c r="BV8" s="475">
        <v>40.200000000000003</v>
      </c>
      <c r="BW8" s="469">
        <v>33.899999999999991</v>
      </c>
      <c r="BX8" s="475">
        <f>29.5+9.30000000000001</f>
        <v>38.800000000000011</v>
      </c>
      <c r="BY8" s="469">
        <v>145.29999999999998</v>
      </c>
      <c r="BZ8" s="823">
        <f t="shared" si="11"/>
        <v>258.2</v>
      </c>
      <c r="CA8" s="475">
        <v>59.5</v>
      </c>
      <c r="CB8" s="469"/>
      <c r="CC8" s="475"/>
      <c r="CD8" s="469"/>
      <c r="CE8" s="823">
        <f t="shared" si="12"/>
        <v>59.5</v>
      </c>
      <c r="CF8" s="479"/>
      <c r="CG8" s="479"/>
      <c r="CH8" s="479"/>
      <c r="CI8" s="479"/>
      <c r="CJ8" s="479"/>
      <c r="CK8" s="479"/>
      <c r="CL8" s="479"/>
      <c r="CM8" s="479"/>
      <c r="CN8" s="479"/>
      <c r="CO8" s="479"/>
      <c r="CP8" s="479"/>
      <c r="CQ8" s="479"/>
      <c r="CR8" s="479"/>
      <c r="CS8" s="479"/>
      <c r="CT8" s="479"/>
      <c r="CU8" s="479"/>
      <c r="CV8" s="479"/>
      <c r="CW8" s="479"/>
      <c r="CX8" s="479"/>
      <c r="CY8" s="479"/>
      <c r="CZ8" s="479"/>
      <c r="DA8" s="479"/>
      <c r="DB8" s="479"/>
      <c r="DC8" s="479"/>
      <c r="DD8" s="479"/>
      <c r="DE8" s="479"/>
      <c r="DF8" s="479"/>
      <c r="DG8" s="479"/>
      <c r="DH8" s="479"/>
      <c r="DI8" s="479"/>
      <c r="DJ8" s="479"/>
      <c r="DK8" s="479"/>
      <c r="DL8" s="479"/>
      <c r="DM8" s="479"/>
      <c r="DN8" s="479"/>
      <c r="DO8" s="479"/>
      <c r="DP8" s="479"/>
      <c r="DQ8" s="479"/>
      <c r="DR8" s="479"/>
      <c r="DS8" s="479"/>
      <c r="DT8" s="479"/>
      <c r="DU8" s="479"/>
      <c r="DV8" s="479"/>
      <c r="DW8" s="479"/>
      <c r="DX8" s="479"/>
      <c r="DY8" s="479"/>
      <c r="DZ8" s="479"/>
      <c r="EA8" s="479"/>
      <c r="EB8" s="479"/>
      <c r="EC8" s="479"/>
      <c r="ED8" s="479"/>
      <c r="EE8" s="479"/>
      <c r="EF8" s="479"/>
      <c r="EG8" s="479"/>
      <c r="EH8" s="479"/>
      <c r="EI8" s="479"/>
      <c r="EJ8" s="479"/>
      <c r="EK8" s="479"/>
      <c r="EL8" s="479"/>
      <c r="EM8" s="479"/>
      <c r="EN8" s="479"/>
      <c r="EO8" s="479"/>
      <c r="EP8" s="479"/>
      <c r="EQ8" s="479"/>
      <c r="ER8" s="479"/>
      <c r="ES8" s="479"/>
      <c r="ET8" s="479"/>
      <c r="EU8" s="479"/>
      <c r="EV8" s="479"/>
      <c r="EW8" s="479"/>
      <c r="EX8" s="479"/>
      <c r="EY8" s="479"/>
      <c r="EZ8" s="479"/>
      <c r="FA8" s="479"/>
      <c r="FB8" s="479"/>
      <c r="FC8" s="479"/>
      <c r="FD8" s="479"/>
      <c r="FE8" s="479"/>
      <c r="FF8" s="479"/>
      <c r="FG8" s="479"/>
      <c r="FH8" s="479"/>
      <c r="FI8" s="479"/>
      <c r="FJ8" s="479"/>
      <c r="FK8" s="479"/>
      <c r="FL8" s="479"/>
      <c r="FM8" s="479"/>
      <c r="FN8" s="479"/>
      <c r="FO8" s="479"/>
      <c r="FP8" s="479"/>
      <c r="FQ8" s="479"/>
      <c r="FR8" s="479"/>
      <c r="FS8" s="479"/>
      <c r="FT8" s="479"/>
      <c r="FU8" s="479"/>
      <c r="FV8" s="479"/>
      <c r="FW8" s="479"/>
      <c r="FX8" s="479"/>
      <c r="FY8" s="479"/>
      <c r="FZ8" s="479"/>
      <c r="GA8" s="479"/>
      <c r="GB8" s="479"/>
      <c r="GC8" s="479"/>
      <c r="GD8" s="479"/>
      <c r="GE8" s="479"/>
      <c r="GF8" s="479"/>
      <c r="GG8" s="479"/>
      <c r="GH8" s="479"/>
      <c r="GI8" s="479"/>
      <c r="GJ8" s="479"/>
      <c r="GK8" s="479"/>
      <c r="GL8" s="479"/>
      <c r="GM8" s="479"/>
      <c r="GN8" s="479"/>
      <c r="GO8" s="479"/>
      <c r="GP8" s="479"/>
      <c r="GQ8" s="479"/>
      <c r="GR8" s="479"/>
      <c r="GS8" s="479"/>
      <c r="GT8" s="479"/>
      <c r="GU8" s="479"/>
      <c r="GV8" s="479"/>
      <c r="GW8" s="479"/>
      <c r="GX8" s="479"/>
      <c r="GY8" s="479"/>
      <c r="GZ8" s="479"/>
      <c r="HA8" s="479"/>
      <c r="HB8" s="479"/>
      <c r="HC8" s="479"/>
      <c r="HD8" s="479"/>
      <c r="HE8" s="479"/>
      <c r="HF8" s="479"/>
      <c r="HG8" s="479"/>
      <c r="HH8" s="479"/>
      <c r="HI8" s="479"/>
      <c r="HJ8" s="479"/>
      <c r="HK8" s="479"/>
      <c r="HL8" s="479"/>
      <c r="HM8" s="479"/>
      <c r="HN8" s="479"/>
      <c r="HO8" s="479"/>
      <c r="HP8" s="479"/>
      <c r="HQ8" s="479"/>
      <c r="HR8" s="479"/>
      <c r="HS8" s="479"/>
      <c r="HT8" s="479"/>
      <c r="HU8" s="479"/>
      <c r="HV8" s="479"/>
      <c r="HW8" s="479"/>
      <c r="HX8" s="479"/>
      <c r="HY8" s="479"/>
      <c r="HZ8" s="479"/>
      <c r="IA8" s="479"/>
      <c r="IB8" s="479"/>
      <c r="IC8" s="479"/>
      <c r="ID8" s="479"/>
      <c r="IE8" s="479"/>
      <c r="IF8" s="479"/>
      <c r="IG8" s="479"/>
      <c r="IH8" s="479"/>
      <c r="II8" s="479"/>
      <c r="IJ8" s="479"/>
      <c r="IK8" s="479"/>
      <c r="IL8" s="479"/>
      <c r="IM8" s="479"/>
      <c r="IN8" s="479"/>
      <c r="IO8" s="479"/>
      <c r="IP8" s="479"/>
      <c r="IQ8" s="479"/>
      <c r="IR8" s="479"/>
      <c r="IS8" s="479"/>
      <c r="IT8" s="479"/>
      <c r="IU8" s="479"/>
      <c r="IV8" s="479"/>
      <c r="IW8" s="479"/>
      <c r="IX8" s="479"/>
      <c r="IY8" s="479"/>
      <c r="IZ8" s="479"/>
      <c r="JA8" s="479"/>
      <c r="JB8" s="479"/>
      <c r="JC8" s="479"/>
      <c r="JD8" s="479"/>
      <c r="JE8" s="479"/>
      <c r="JF8" s="479"/>
      <c r="JG8" s="479"/>
      <c r="JH8" s="479"/>
      <c r="JI8" s="479"/>
      <c r="JJ8" s="479"/>
      <c r="JK8" s="479"/>
      <c r="JL8" s="479"/>
      <c r="JM8" s="479"/>
      <c r="JN8" s="479"/>
      <c r="JO8" s="479"/>
      <c r="JP8" s="479"/>
      <c r="JQ8" s="479"/>
      <c r="JR8" s="479"/>
      <c r="JS8" s="479"/>
      <c r="JT8" s="479"/>
      <c r="JU8" s="479"/>
      <c r="JV8" s="479"/>
      <c r="JW8" s="479"/>
      <c r="JX8" s="479"/>
      <c r="JY8" s="479"/>
      <c r="JZ8" s="479"/>
      <c r="KA8" s="479"/>
      <c r="KB8" s="479"/>
      <c r="KC8" s="479"/>
      <c r="KD8" s="479"/>
      <c r="KE8" s="479"/>
      <c r="KF8" s="479"/>
      <c r="KG8" s="479"/>
      <c r="KH8" s="479"/>
      <c r="KI8" s="479"/>
      <c r="KJ8" s="479"/>
      <c r="KK8" s="479"/>
      <c r="KL8" s="479"/>
      <c r="KM8" s="479"/>
      <c r="KN8" s="479"/>
      <c r="KO8" s="479"/>
      <c r="KP8" s="479"/>
      <c r="KQ8" s="479"/>
      <c r="KR8" s="479"/>
      <c r="KS8" s="479"/>
      <c r="KT8" s="479"/>
      <c r="KU8" s="479"/>
      <c r="KV8" s="479"/>
      <c r="KW8" s="479"/>
      <c r="KX8" s="479"/>
      <c r="KY8" s="479"/>
      <c r="KZ8" s="479"/>
      <c r="LA8" s="479"/>
      <c r="LB8" s="479"/>
      <c r="LC8" s="479"/>
      <c r="LD8" s="479"/>
      <c r="LE8" s="479"/>
      <c r="LF8" s="479"/>
      <c r="LG8" s="479"/>
      <c r="LH8" s="479"/>
      <c r="LI8" s="479"/>
      <c r="LJ8" s="479"/>
      <c r="LK8" s="479"/>
      <c r="LL8" s="479"/>
      <c r="LM8" s="479"/>
      <c r="LN8" s="479"/>
      <c r="LO8" s="479"/>
      <c r="LP8" s="479"/>
      <c r="LQ8" s="479"/>
      <c r="LR8" s="479"/>
      <c r="LS8" s="479"/>
      <c r="LT8" s="479"/>
      <c r="LU8" s="479"/>
      <c r="LV8" s="479"/>
      <c r="LW8" s="479"/>
      <c r="LX8" s="479"/>
      <c r="LY8" s="479"/>
      <c r="LZ8" s="479"/>
      <c r="MA8" s="479"/>
      <c r="MB8" s="479"/>
      <c r="MC8" s="479"/>
      <c r="MD8" s="479"/>
      <c r="ME8" s="479"/>
      <c r="MF8" s="479"/>
      <c r="MG8" s="479"/>
      <c r="MH8" s="479"/>
      <c r="MI8" s="479"/>
      <c r="MJ8" s="479"/>
      <c r="MK8" s="479"/>
      <c r="ML8" s="479"/>
      <c r="MM8" s="479"/>
      <c r="MN8" s="479"/>
      <c r="MO8" s="479"/>
      <c r="MP8" s="479"/>
      <c r="MQ8" s="479"/>
      <c r="MR8" s="479"/>
      <c r="MS8" s="479"/>
      <c r="MT8" s="479"/>
      <c r="MU8" s="479"/>
      <c r="MV8" s="479"/>
      <c r="MW8" s="479"/>
      <c r="MX8" s="479"/>
      <c r="MY8" s="479"/>
      <c r="MZ8" s="479"/>
      <c r="NA8" s="479"/>
      <c r="NB8" s="479"/>
      <c r="NC8" s="479"/>
      <c r="ND8" s="479"/>
      <c r="NE8" s="479"/>
      <c r="NF8" s="479"/>
      <c r="NG8" s="479"/>
      <c r="NH8" s="479"/>
      <c r="NI8" s="479"/>
      <c r="NJ8" s="479"/>
      <c r="NK8" s="479"/>
      <c r="NL8" s="479"/>
      <c r="NM8" s="479"/>
      <c r="NN8" s="479"/>
      <c r="NO8" s="479"/>
      <c r="NP8" s="479"/>
      <c r="NQ8" s="479"/>
      <c r="NR8" s="479"/>
      <c r="NS8" s="479"/>
      <c r="NT8" s="479"/>
      <c r="NU8" s="479"/>
      <c r="NV8" s="479"/>
      <c r="NW8" s="479"/>
      <c r="NX8" s="479"/>
      <c r="NY8" s="479"/>
      <c r="NZ8" s="479"/>
      <c r="OA8" s="479"/>
      <c r="OB8" s="479"/>
      <c r="OC8" s="479"/>
      <c r="OD8" s="479"/>
      <c r="OE8" s="479"/>
      <c r="OF8" s="479"/>
      <c r="OG8" s="479"/>
      <c r="OH8" s="479"/>
      <c r="OI8" s="479"/>
      <c r="OJ8" s="479"/>
      <c r="OK8" s="479"/>
      <c r="OL8" s="479"/>
      <c r="OM8" s="479"/>
      <c r="ON8" s="479"/>
      <c r="OO8" s="479"/>
      <c r="OP8" s="479"/>
      <c r="OQ8" s="479"/>
      <c r="OR8" s="479"/>
      <c r="OS8" s="479"/>
      <c r="OT8" s="479"/>
      <c r="OU8" s="479"/>
      <c r="OV8" s="479"/>
      <c r="OW8" s="479"/>
      <c r="OX8" s="479"/>
      <c r="OY8" s="479"/>
      <c r="OZ8" s="479"/>
      <c r="PA8" s="479"/>
      <c r="PB8" s="479"/>
      <c r="PC8" s="479"/>
      <c r="PD8" s="479"/>
      <c r="PE8" s="479"/>
      <c r="PF8" s="479"/>
      <c r="PG8" s="479"/>
      <c r="PH8" s="479"/>
      <c r="PI8" s="479"/>
      <c r="PJ8" s="479"/>
      <c r="PK8" s="479"/>
      <c r="PL8" s="479"/>
      <c r="PM8" s="479"/>
      <c r="PN8" s="479"/>
      <c r="PO8" s="479"/>
      <c r="PP8" s="479"/>
      <c r="PQ8" s="479"/>
      <c r="PR8" s="479"/>
      <c r="PS8" s="479"/>
      <c r="PT8" s="479"/>
      <c r="PU8" s="479"/>
      <c r="PV8" s="479"/>
      <c r="PW8" s="479"/>
      <c r="PX8" s="479"/>
      <c r="PY8" s="479"/>
      <c r="PZ8" s="479"/>
      <c r="QA8" s="479"/>
      <c r="QB8" s="479"/>
      <c r="QC8" s="479"/>
      <c r="QD8" s="479"/>
      <c r="QE8" s="479"/>
      <c r="QF8" s="479"/>
      <c r="QG8" s="479"/>
      <c r="QH8" s="479"/>
      <c r="QI8" s="479"/>
      <c r="QJ8" s="479"/>
      <c r="QK8" s="479"/>
      <c r="QL8" s="479"/>
      <c r="QM8" s="479"/>
      <c r="QN8" s="479"/>
      <c r="QO8" s="479"/>
      <c r="QP8" s="479"/>
      <c r="QQ8" s="479"/>
      <c r="QR8" s="479"/>
      <c r="QS8" s="479"/>
      <c r="QT8" s="479"/>
      <c r="QU8" s="479"/>
      <c r="QV8" s="479"/>
      <c r="QW8" s="479"/>
      <c r="QX8" s="479"/>
      <c r="QY8" s="479"/>
      <c r="QZ8" s="479"/>
      <c r="RA8" s="479"/>
      <c r="RB8" s="479"/>
      <c r="RC8" s="479"/>
      <c r="RD8" s="479"/>
      <c r="RE8" s="479"/>
      <c r="RF8" s="479"/>
      <c r="RG8" s="479"/>
      <c r="RH8" s="479"/>
      <c r="RI8" s="479"/>
      <c r="RJ8" s="479"/>
      <c r="RK8" s="479"/>
      <c r="RL8" s="479"/>
      <c r="RM8" s="479"/>
      <c r="RN8" s="479"/>
      <c r="RO8" s="479"/>
      <c r="RP8" s="479"/>
      <c r="RQ8" s="479"/>
      <c r="RR8" s="479"/>
      <c r="RS8" s="479"/>
      <c r="RT8" s="479"/>
      <c r="RU8" s="479"/>
      <c r="RV8" s="479"/>
      <c r="RW8" s="479"/>
      <c r="RX8" s="479"/>
    </row>
    <row r="9" spans="1:492" s="480" customFormat="1" ht="20.149999999999999" customHeight="1">
      <c r="A9" s="489" t="s">
        <v>462</v>
      </c>
      <c r="B9" s="510" t="s">
        <v>463</v>
      </c>
      <c r="C9" s="474"/>
      <c r="D9" s="474"/>
      <c r="E9" s="474"/>
      <c r="F9" s="474"/>
      <c r="G9" s="474"/>
      <c r="H9" s="474"/>
      <c r="I9" s="474"/>
      <c r="J9" s="474"/>
      <c r="K9" s="474"/>
      <c r="L9" s="474"/>
      <c r="M9" s="474"/>
      <c r="N9" s="474"/>
      <c r="O9" s="474"/>
      <c r="P9" s="474"/>
      <c r="Q9" s="474"/>
      <c r="R9" s="474"/>
      <c r="S9" s="474"/>
      <c r="T9" s="474"/>
      <c r="U9" s="474"/>
      <c r="V9" s="474"/>
      <c r="W9" s="474"/>
      <c r="X9" s="474"/>
      <c r="Y9" s="474"/>
      <c r="Z9" s="474"/>
      <c r="AA9" s="474"/>
      <c r="AB9" s="474"/>
      <c r="AC9" s="474"/>
      <c r="AD9" s="474"/>
      <c r="AE9" s="474"/>
      <c r="AF9" s="474"/>
      <c r="AG9" s="474"/>
      <c r="AH9" s="474"/>
      <c r="AI9" s="474"/>
      <c r="AJ9" s="474"/>
      <c r="AK9" s="474"/>
      <c r="AL9" s="474"/>
      <c r="AM9" s="499"/>
      <c r="AN9" s="475"/>
      <c r="AO9" s="475"/>
      <c r="AP9" s="475"/>
      <c r="AQ9" s="500"/>
      <c r="AR9" s="475"/>
      <c r="AS9" s="475"/>
      <c r="AT9" s="475"/>
      <c r="AU9" s="475"/>
      <c r="AV9" s="470"/>
      <c r="AW9" s="475"/>
      <c r="AX9" s="475"/>
      <c r="AY9" s="475"/>
      <c r="AZ9" s="475"/>
      <c r="BA9" s="478"/>
      <c r="BB9" s="499"/>
      <c r="BC9" s="475"/>
      <c r="BD9" s="475"/>
      <c r="BE9" s="469"/>
      <c r="BF9" s="500"/>
      <c r="BG9" s="475"/>
      <c r="BH9" s="475"/>
      <c r="BI9" s="475"/>
      <c r="BJ9" s="469"/>
      <c r="BK9" s="500"/>
      <c r="BL9" s="475"/>
      <c r="BM9" s="469"/>
      <c r="BN9" s="475"/>
      <c r="BO9" s="469"/>
      <c r="BP9" s="500"/>
      <c r="BQ9" s="475"/>
      <c r="BR9" s="469"/>
      <c r="BS9" s="475">
        <v>376.5</v>
      </c>
      <c r="BT9" s="469">
        <v>395.1</v>
      </c>
      <c r="BU9" s="823">
        <f t="shared" si="10"/>
        <v>771.6</v>
      </c>
      <c r="BV9" s="475">
        <v>354.3</v>
      </c>
      <c r="BW9" s="469">
        <v>324.2</v>
      </c>
      <c r="BX9" s="475">
        <f>133.8+232.7</f>
        <v>366.5</v>
      </c>
      <c r="BY9" s="469">
        <v>403.29999999999995</v>
      </c>
      <c r="BZ9" s="823">
        <f t="shared" si="11"/>
        <v>1448.3</v>
      </c>
      <c r="CA9" s="475">
        <v>387.9</v>
      </c>
      <c r="CB9" s="469"/>
      <c r="CC9" s="475"/>
      <c r="CD9" s="469"/>
      <c r="CE9" s="823">
        <f t="shared" si="12"/>
        <v>387.9</v>
      </c>
      <c r="CF9" s="479"/>
      <c r="CG9" s="479"/>
      <c r="CH9" s="479"/>
      <c r="CI9" s="479"/>
      <c r="CJ9" s="479"/>
      <c r="CK9" s="479"/>
      <c r="CL9" s="479"/>
      <c r="CM9" s="479"/>
      <c r="CN9" s="479"/>
      <c r="CO9" s="479"/>
      <c r="CP9" s="479"/>
      <c r="CQ9" s="479"/>
      <c r="CR9" s="479"/>
      <c r="CS9" s="479"/>
      <c r="CT9" s="479"/>
      <c r="CU9" s="479"/>
      <c r="CV9" s="479"/>
      <c r="CW9" s="479"/>
      <c r="CX9" s="479"/>
      <c r="CY9" s="479"/>
      <c r="CZ9" s="479"/>
      <c r="DA9" s="479"/>
      <c r="DB9" s="479"/>
      <c r="DC9" s="479"/>
      <c r="DD9" s="479"/>
      <c r="DE9" s="479"/>
      <c r="DF9" s="479"/>
      <c r="DG9" s="479"/>
      <c r="DH9" s="479"/>
      <c r="DI9" s="479"/>
      <c r="DJ9" s="479"/>
      <c r="DK9" s="479"/>
      <c r="DL9" s="479"/>
      <c r="DM9" s="479"/>
      <c r="DN9" s="479"/>
      <c r="DO9" s="479"/>
      <c r="DP9" s="479"/>
      <c r="DQ9" s="479"/>
      <c r="DR9" s="479"/>
      <c r="DS9" s="479"/>
      <c r="DT9" s="479"/>
      <c r="DU9" s="479"/>
      <c r="DV9" s="479"/>
      <c r="DW9" s="479"/>
      <c r="DX9" s="479"/>
      <c r="DY9" s="479"/>
      <c r="DZ9" s="479"/>
      <c r="EA9" s="479"/>
      <c r="EB9" s="479"/>
      <c r="EC9" s="479"/>
      <c r="ED9" s="479"/>
      <c r="EE9" s="479"/>
      <c r="EF9" s="479"/>
      <c r="EG9" s="479"/>
      <c r="EH9" s="479"/>
      <c r="EI9" s="479"/>
      <c r="EJ9" s="479"/>
      <c r="EK9" s="479"/>
      <c r="EL9" s="479"/>
      <c r="EM9" s="479"/>
      <c r="EN9" s="479"/>
      <c r="EO9" s="479"/>
      <c r="EP9" s="479"/>
      <c r="EQ9" s="479"/>
      <c r="ER9" s="479"/>
      <c r="ES9" s="479"/>
      <c r="ET9" s="479"/>
      <c r="EU9" s="479"/>
      <c r="EV9" s="479"/>
      <c r="EW9" s="479"/>
      <c r="EX9" s="479"/>
      <c r="EY9" s="479"/>
      <c r="EZ9" s="479"/>
      <c r="FA9" s="479"/>
      <c r="FB9" s="479"/>
      <c r="FC9" s="479"/>
      <c r="FD9" s="479"/>
      <c r="FE9" s="479"/>
      <c r="FF9" s="479"/>
      <c r="FG9" s="479"/>
      <c r="FH9" s="479"/>
      <c r="FI9" s="479"/>
      <c r="FJ9" s="479"/>
      <c r="FK9" s="479"/>
      <c r="FL9" s="479"/>
      <c r="FM9" s="479"/>
      <c r="FN9" s="479"/>
      <c r="FO9" s="479"/>
      <c r="FP9" s="479"/>
      <c r="FQ9" s="479"/>
      <c r="FR9" s="479"/>
      <c r="FS9" s="479"/>
      <c r="FT9" s="479"/>
      <c r="FU9" s="479"/>
      <c r="FV9" s="479"/>
      <c r="FW9" s="479"/>
      <c r="FX9" s="479"/>
      <c r="FY9" s="479"/>
      <c r="FZ9" s="479"/>
      <c r="GA9" s="479"/>
      <c r="GB9" s="479"/>
      <c r="GC9" s="479"/>
      <c r="GD9" s="479"/>
      <c r="GE9" s="479"/>
      <c r="GF9" s="479"/>
      <c r="GG9" s="479"/>
      <c r="GH9" s="479"/>
      <c r="GI9" s="479"/>
      <c r="GJ9" s="479"/>
      <c r="GK9" s="479"/>
      <c r="GL9" s="479"/>
      <c r="GM9" s="479"/>
      <c r="GN9" s="479"/>
      <c r="GO9" s="479"/>
      <c r="GP9" s="479"/>
      <c r="GQ9" s="479"/>
      <c r="GR9" s="479"/>
      <c r="GS9" s="479"/>
      <c r="GT9" s="479"/>
      <c r="GU9" s="479"/>
      <c r="GV9" s="479"/>
      <c r="GW9" s="479"/>
      <c r="GX9" s="479"/>
      <c r="GY9" s="479"/>
      <c r="GZ9" s="479"/>
      <c r="HA9" s="479"/>
      <c r="HB9" s="479"/>
      <c r="HC9" s="479"/>
      <c r="HD9" s="479"/>
      <c r="HE9" s="479"/>
      <c r="HF9" s="479"/>
      <c r="HG9" s="479"/>
      <c r="HH9" s="479"/>
      <c r="HI9" s="479"/>
      <c r="HJ9" s="479"/>
      <c r="HK9" s="479"/>
      <c r="HL9" s="479"/>
      <c r="HM9" s="479"/>
      <c r="HN9" s="479"/>
      <c r="HO9" s="479"/>
      <c r="HP9" s="479"/>
      <c r="HQ9" s="479"/>
      <c r="HR9" s="479"/>
      <c r="HS9" s="479"/>
      <c r="HT9" s="479"/>
      <c r="HU9" s="479"/>
      <c r="HV9" s="479"/>
      <c r="HW9" s="479"/>
      <c r="HX9" s="479"/>
      <c r="HY9" s="479"/>
      <c r="HZ9" s="479"/>
      <c r="IA9" s="479"/>
      <c r="IB9" s="479"/>
      <c r="IC9" s="479"/>
      <c r="ID9" s="479"/>
      <c r="IE9" s="479"/>
      <c r="IF9" s="479"/>
      <c r="IG9" s="479"/>
      <c r="IH9" s="479"/>
      <c r="II9" s="479"/>
      <c r="IJ9" s="479"/>
      <c r="IK9" s="479"/>
      <c r="IL9" s="479"/>
      <c r="IM9" s="479"/>
      <c r="IN9" s="479"/>
      <c r="IO9" s="479"/>
      <c r="IP9" s="479"/>
      <c r="IQ9" s="479"/>
      <c r="IR9" s="479"/>
      <c r="IS9" s="479"/>
      <c r="IT9" s="479"/>
      <c r="IU9" s="479"/>
      <c r="IV9" s="479"/>
      <c r="IW9" s="479"/>
      <c r="IX9" s="479"/>
      <c r="IY9" s="479"/>
      <c r="IZ9" s="479"/>
      <c r="JA9" s="479"/>
      <c r="JB9" s="479"/>
      <c r="JC9" s="479"/>
      <c r="JD9" s="479"/>
      <c r="JE9" s="479"/>
      <c r="JF9" s="479"/>
      <c r="JG9" s="479"/>
      <c r="JH9" s="479"/>
      <c r="JI9" s="479"/>
      <c r="JJ9" s="479"/>
      <c r="JK9" s="479"/>
      <c r="JL9" s="479"/>
      <c r="JM9" s="479"/>
      <c r="JN9" s="479"/>
      <c r="JO9" s="479"/>
      <c r="JP9" s="479"/>
      <c r="JQ9" s="479"/>
      <c r="JR9" s="479"/>
      <c r="JS9" s="479"/>
      <c r="JT9" s="479"/>
      <c r="JU9" s="479"/>
      <c r="JV9" s="479"/>
      <c r="JW9" s="479"/>
      <c r="JX9" s="479"/>
      <c r="JY9" s="479"/>
      <c r="JZ9" s="479"/>
      <c r="KA9" s="479"/>
      <c r="KB9" s="479"/>
      <c r="KC9" s="479"/>
      <c r="KD9" s="479"/>
      <c r="KE9" s="479"/>
      <c r="KF9" s="479"/>
      <c r="KG9" s="479"/>
      <c r="KH9" s="479"/>
      <c r="KI9" s="479"/>
      <c r="KJ9" s="479"/>
      <c r="KK9" s="479"/>
      <c r="KL9" s="479"/>
      <c r="KM9" s="479"/>
      <c r="KN9" s="479"/>
      <c r="KO9" s="479"/>
      <c r="KP9" s="479"/>
      <c r="KQ9" s="479"/>
      <c r="KR9" s="479"/>
      <c r="KS9" s="479"/>
      <c r="KT9" s="479"/>
      <c r="KU9" s="479"/>
      <c r="KV9" s="479"/>
      <c r="KW9" s="479"/>
      <c r="KX9" s="479"/>
      <c r="KY9" s="479"/>
      <c r="KZ9" s="479"/>
      <c r="LA9" s="479"/>
      <c r="LB9" s="479"/>
      <c r="LC9" s="479"/>
      <c r="LD9" s="479"/>
      <c r="LE9" s="479"/>
      <c r="LF9" s="479"/>
      <c r="LG9" s="479"/>
      <c r="LH9" s="479"/>
      <c r="LI9" s="479"/>
      <c r="LJ9" s="479"/>
      <c r="LK9" s="479"/>
      <c r="LL9" s="479"/>
      <c r="LM9" s="479"/>
      <c r="LN9" s="479"/>
      <c r="LO9" s="479"/>
      <c r="LP9" s="479"/>
      <c r="LQ9" s="479"/>
      <c r="LR9" s="479"/>
      <c r="LS9" s="479"/>
      <c r="LT9" s="479"/>
      <c r="LU9" s="479"/>
      <c r="LV9" s="479"/>
      <c r="LW9" s="479"/>
      <c r="LX9" s="479"/>
      <c r="LY9" s="479"/>
      <c r="LZ9" s="479"/>
      <c r="MA9" s="479"/>
      <c r="MB9" s="479"/>
      <c r="MC9" s="479"/>
      <c r="MD9" s="479"/>
      <c r="ME9" s="479"/>
      <c r="MF9" s="479"/>
      <c r="MG9" s="479"/>
      <c r="MH9" s="479"/>
      <c r="MI9" s="479"/>
      <c r="MJ9" s="479"/>
      <c r="MK9" s="479"/>
      <c r="ML9" s="479"/>
      <c r="MM9" s="479"/>
      <c r="MN9" s="479"/>
      <c r="MO9" s="479"/>
      <c r="MP9" s="479"/>
      <c r="MQ9" s="479"/>
      <c r="MR9" s="479"/>
      <c r="MS9" s="479"/>
      <c r="MT9" s="479"/>
      <c r="MU9" s="479"/>
      <c r="MV9" s="479"/>
      <c r="MW9" s="479"/>
      <c r="MX9" s="479"/>
      <c r="MY9" s="479"/>
      <c r="MZ9" s="479"/>
      <c r="NA9" s="479"/>
      <c r="NB9" s="479"/>
      <c r="NC9" s="479"/>
      <c r="ND9" s="479"/>
      <c r="NE9" s="479"/>
      <c r="NF9" s="479"/>
      <c r="NG9" s="479"/>
      <c r="NH9" s="479"/>
      <c r="NI9" s="479"/>
      <c r="NJ9" s="479"/>
      <c r="NK9" s="479"/>
      <c r="NL9" s="479"/>
      <c r="NM9" s="479"/>
      <c r="NN9" s="479"/>
      <c r="NO9" s="479"/>
      <c r="NP9" s="479"/>
      <c r="NQ9" s="479"/>
      <c r="NR9" s="479"/>
      <c r="NS9" s="479"/>
      <c r="NT9" s="479"/>
      <c r="NU9" s="479"/>
      <c r="NV9" s="479"/>
      <c r="NW9" s="479"/>
      <c r="NX9" s="479"/>
      <c r="NY9" s="479"/>
      <c r="NZ9" s="479"/>
      <c r="OA9" s="479"/>
      <c r="OB9" s="479"/>
      <c r="OC9" s="479"/>
      <c r="OD9" s="479"/>
      <c r="OE9" s="479"/>
      <c r="OF9" s="479"/>
      <c r="OG9" s="479"/>
      <c r="OH9" s="479"/>
      <c r="OI9" s="479"/>
      <c r="OJ9" s="479"/>
      <c r="OK9" s="479"/>
      <c r="OL9" s="479"/>
      <c r="OM9" s="479"/>
      <c r="ON9" s="479"/>
      <c r="OO9" s="479"/>
      <c r="OP9" s="479"/>
      <c r="OQ9" s="479"/>
      <c r="OR9" s="479"/>
      <c r="OS9" s="479"/>
      <c r="OT9" s="479"/>
      <c r="OU9" s="479"/>
      <c r="OV9" s="479"/>
      <c r="OW9" s="479"/>
      <c r="OX9" s="479"/>
      <c r="OY9" s="479"/>
      <c r="OZ9" s="479"/>
      <c r="PA9" s="479"/>
      <c r="PB9" s="479"/>
      <c r="PC9" s="479"/>
      <c r="PD9" s="479"/>
      <c r="PE9" s="479"/>
      <c r="PF9" s="479"/>
      <c r="PG9" s="479"/>
      <c r="PH9" s="479"/>
      <c r="PI9" s="479"/>
      <c r="PJ9" s="479"/>
      <c r="PK9" s="479"/>
      <c r="PL9" s="479"/>
      <c r="PM9" s="479"/>
      <c r="PN9" s="479"/>
      <c r="PO9" s="479"/>
      <c r="PP9" s="479"/>
      <c r="PQ9" s="479"/>
      <c r="PR9" s="479"/>
      <c r="PS9" s="479"/>
      <c r="PT9" s="479"/>
      <c r="PU9" s="479"/>
      <c r="PV9" s="479"/>
      <c r="PW9" s="479"/>
      <c r="PX9" s="479"/>
      <c r="PY9" s="479"/>
      <c r="PZ9" s="479"/>
      <c r="QA9" s="479"/>
      <c r="QB9" s="479"/>
      <c r="QC9" s="479"/>
      <c r="QD9" s="479"/>
      <c r="QE9" s="479"/>
      <c r="QF9" s="479"/>
      <c r="QG9" s="479"/>
      <c r="QH9" s="479"/>
      <c r="QI9" s="479"/>
      <c r="QJ9" s="479"/>
      <c r="QK9" s="479"/>
      <c r="QL9" s="479"/>
      <c r="QM9" s="479"/>
      <c r="QN9" s="479"/>
      <c r="QO9" s="479"/>
      <c r="QP9" s="479"/>
      <c r="QQ9" s="479"/>
      <c r="QR9" s="479"/>
      <c r="QS9" s="479"/>
      <c r="QT9" s="479"/>
      <c r="QU9" s="479"/>
      <c r="QV9" s="479"/>
      <c r="QW9" s="479"/>
      <c r="QX9" s="479"/>
      <c r="QY9" s="479"/>
      <c r="QZ9" s="479"/>
      <c r="RA9" s="479"/>
      <c r="RB9" s="479"/>
      <c r="RC9" s="479"/>
      <c r="RD9" s="479"/>
      <c r="RE9" s="479"/>
      <c r="RF9" s="479"/>
      <c r="RG9" s="479"/>
      <c r="RH9" s="479"/>
      <c r="RI9" s="479"/>
      <c r="RJ9" s="479"/>
      <c r="RK9" s="479"/>
      <c r="RL9" s="479"/>
      <c r="RM9" s="479"/>
      <c r="RN9" s="479"/>
      <c r="RO9" s="479"/>
      <c r="RP9" s="479"/>
      <c r="RQ9" s="479"/>
      <c r="RR9" s="479"/>
      <c r="RS9" s="479"/>
      <c r="RT9" s="479"/>
      <c r="RU9" s="479"/>
      <c r="RV9" s="479"/>
      <c r="RW9" s="479"/>
      <c r="RX9" s="479"/>
    </row>
    <row r="10" spans="1:492" s="480" customFormat="1" ht="20.149999999999999" customHeight="1" thickBot="1">
      <c r="A10" s="489" t="s">
        <v>464</v>
      </c>
      <c r="B10" s="510" t="s">
        <v>465</v>
      </c>
      <c r="C10" s="474"/>
      <c r="D10" s="474"/>
      <c r="E10" s="474"/>
      <c r="F10" s="474"/>
      <c r="G10" s="474"/>
      <c r="H10" s="474"/>
      <c r="I10" s="474"/>
      <c r="J10" s="474"/>
      <c r="K10" s="474"/>
      <c r="L10" s="474"/>
      <c r="M10" s="474"/>
      <c r="N10" s="474"/>
      <c r="O10" s="474"/>
      <c r="P10" s="474"/>
      <c r="Q10" s="474"/>
      <c r="R10" s="474"/>
      <c r="S10" s="474"/>
      <c r="T10" s="474"/>
      <c r="U10" s="474"/>
      <c r="V10" s="474"/>
      <c r="W10" s="474"/>
      <c r="X10" s="474"/>
      <c r="Y10" s="474"/>
      <c r="Z10" s="474"/>
      <c r="AA10" s="474"/>
      <c r="AB10" s="474"/>
      <c r="AC10" s="474"/>
      <c r="AD10" s="474"/>
      <c r="AE10" s="474"/>
      <c r="AF10" s="474"/>
      <c r="AG10" s="474"/>
      <c r="AH10" s="474"/>
      <c r="AI10" s="474"/>
      <c r="AJ10" s="474"/>
      <c r="AK10" s="474"/>
      <c r="AL10" s="474"/>
      <c r="AM10" s="501">
        <v>-53.1</v>
      </c>
      <c r="AN10" s="481">
        <v>-56.999999999999993</v>
      </c>
      <c r="AO10" s="481">
        <v>-69.700000000000017</v>
      </c>
      <c r="AP10" s="481">
        <v>-60.699999999999989</v>
      </c>
      <c r="AQ10" s="500">
        <f t="shared" si="5"/>
        <v>-240.5</v>
      </c>
      <c r="AR10" s="481"/>
      <c r="AS10" s="481"/>
      <c r="AT10" s="481"/>
      <c r="AU10" s="481"/>
      <c r="AV10" s="482"/>
      <c r="AW10" s="481">
        <v>-61.2</v>
      </c>
      <c r="AX10" s="481">
        <v>-66</v>
      </c>
      <c r="AY10" s="481">
        <v>-63.600000000000009</v>
      </c>
      <c r="AZ10" s="481">
        <v>-66.399999999999977</v>
      </c>
      <c r="BA10" s="478">
        <f t="shared" si="6"/>
        <v>-257.2</v>
      </c>
      <c r="BB10" s="501">
        <v>-65.5</v>
      </c>
      <c r="BC10" s="481">
        <v>-68</v>
      </c>
      <c r="BD10" s="481">
        <v>-68.699999999999989</v>
      </c>
      <c r="BE10" s="481">
        <v>-72.599999999999994</v>
      </c>
      <c r="BF10" s="508">
        <f t="shared" si="7"/>
        <v>-274.79999999999995</v>
      </c>
      <c r="BG10" s="481">
        <v>-70.8</v>
      </c>
      <c r="BH10" s="481">
        <v>-71.000000000000014</v>
      </c>
      <c r="BI10" s="481">
        <v>-59.899999999999991</v>
      </c>
      <c r="BJ10" s="481">
        <f>-274.8-SUM(BG10:BI10)</f>
        <v>-73.100000000000023</v>
      </c>
      <c r="BK10" s="508">
        <f t="shared" si="8"/>
        <v>-274.8</v>
      </c>
      <c r="BL10" s="481">
        <v>-72.7</v>
      </c>
      <c r="BM10" s="671">
        <f>-166.3-BL10</f>
        <v>-93.600000000000009</v>
      </c>
      <c r="BN10" s="481">
        <f>-266.4-BM10-BL10</f>
        <v>-100.09999999999995</v>
      </c>
      <c r="BO10" s="481">
        <f>-373.9-BN10-BM10-BL10</f>
        <v>-107.49999999999999</v>
      </c>
      <c r="BP10" s="508">
        <f t="shared" si="9"/>
        <v>-373.9</v>
      </c>
      <c r="BQ10" s="481">
        <v>-87.9</v>
      </c>
      <c r="BR10" s="722">
        <f>-175.4-BQ10</f>
        <v>-87.5</v>
      </c>
      <c r="BS10" s="481">
        <v>-165.20000000000002</v>
      </c>
      <c r="BT10" s="481">
        <v>-169.09999999999997</v>
      </c>
      <c r="BU10" s="824">
        <f t="shared" si="10"/>
        <v>-509.7</v>
      </c>
      <c r="BV10" s="481">
        <v>-150.30000000000001</v>
      </c>
      <c r="BW10" s="722">
        <v>-176</v>
      </c>
      <c r="BX10" s="481">
        <v>-53.099999999999966</v>
      </c>
      <c r="BY10" s="481">
        <v>-129.5</v>
      </c>
      <c r="BZ10" s="824">
        <f t="shared" si="11"/>
        <v>-508.9</v>
      </c>
      <c r="CA10" s="481">
        <v>-109.1</v>
      </c>
      <c r="CB10" s="722"/>
      <c r="CC10" s="481"/>
      <c r="CD10" s="481"/>
      <c r="CE10" s="824">
        <f t="shared" si="12"/>
        <v>-109.1</v>
      </c>
      <c r="CF10" s="479"/>
      <c r="CG10" s="479"/>
      <c r="CH10" s="479"/>
      <c r="CI10" s="479"/>
      <c r="CJ10" s="479"/>
      <c r="CK10" s="479"/>
      <c r="CL10" s="479"/>
      <c r="CM10" s="479"/>
      <c r="CN10" s="479"/>
      <c r="CO10" s="479"/>
      <c r="CP10" s="479"/>
      <c r="CQ10" s="479"/>
      <c r="CR10" s="479"/>
      <c r="CS10" s="479"/>
      <c r="CT10" s="479"/>
      <c r="CU10" s="479"/>
      <c r="CV10" s="479"/>
      <c r="CW10" s="479"/>
      <c r="CX10" s="479"/>
      <c r="CY10" s="479"/>
      <c r="CZ10" s="479"/>
      <c r="DA10" s="479"/>
      <c r="DB10" s="479"/>
      <c r="DC10" s="479"/>
      <c r="DD10" s="479"/>
      <c r="DE10" s="479"/>
      <c r="DF10" s="479"/>
      <c r="DG10" s="479"/>
      <c r="DH10" s="479"/>
      <c r="DI10" s="479"/>
      <c r="DJ10" s="479"/>
      <c r="DK10" s="479"/>
      <c r="DL10" s="479"/>
      <c r="DM10" s="479"/>
      <c r="DN10" s="479"/>
      <c r="DO10" s="479"/>
      <c r="DP10" s="479"/>
      <c r="DQ10" s="479"/>
      <c r="DR10" s="479"/>
      <c r="DS10" s="479"/>
      <c r="DT10" s="479"/>
      <c r="DU10" s="479"/>
      <c r="DV10" s="479"/>
      <c r="DW10" s="479"/>
      <c r="DX10" s="479"/>
      <c r="DY10" s="479"/>
      <c r="DZ10" s="479"/>
      <c r="EA10" s="479"/>
      <c r="EB10" s="479"/>
      <c r="EC10" s="479"/>
      <c r="ED10" s="479"/>
      <c r="EE10" s="479"/>
      <c r="EF10" s="479"/>
      <c r="EG10" s="479"/>
      <c r="EH10" s="479"/>
      <c r="EI10" s="479"/>
      <c r="EJ10" s="479"/>
      <c r="EK10" s="479"/>
      <c r="EL10" s="479"/>
      <c r="EM10" s="479"/>
      <c r="EN10" s="479"/>
      <c r="EO10" s="479"/>
      <c r="EP10" s="479"/>
      <c r="EQ10" s="479"/>
      <c r="ER10" s="479"/>
      <c r="ES10" s="479"/>
      <c r="ET10" s="479"/>
      <c r="EU10" s="479"/>
      <c r="EV10" s="479"/>
      <c r="EW10" s="479"/>
      <c r="EX10" s="479"/>
      <c r="EY10" s="479"/>
      <c r="EZ10" s="479"/>
      <c r="FA10" s="479"/>
      <c r="FB10" s="479"/>
      <c r="FC10" s="479"/>
      <c r="FD10" s="479"/>
      <c r="FE10" s="479"/>
      <c r="FF10" s="479"/>
      <c r="FG10" s="479"/>
      <c r="FH10" s="479"/>
      <c r="FI10" s="479"/>
      <c r="FJ10" s="479"/>
      <c r="FK10" s="479"/>
      <c r="FL10" s="479"/>
      <c r="FM10" s="479"/>
      <c r="FN10" s="479"/>
      <c r="FO10" s="479"/>
      <c r="FP10" s="479"/>
      <c r="FQ10" s="479"/>
      <c r="FR10" s="479"/>
      <c r="FS10" s="479"/>
      <c r="FT10" s="479"/>
      <c r="FU10" s="479"/>
      <c r="FV10" s="479"/>
      <c r="FW10" s="479"/>
      <c r="FX10" s="479"/>
      <c r="FY10" s="479"/>
      <c r="FZ10" s="479"/>
      <c r="GA10" s="479"/>
      <c r="GB10" s="479"/>
      <c r="GC10" s="479"/>
      <c r="GD10" s="479"/>
      <c r="GE10" s="479"/>
      <c r="GF10" s="479"/>
      <c r="GG10" s="479"/>
      <c r="GH10" s="479"/>
      <c r="GI10" s="479"/>
      <c r="GJ10" s="479"/>
      <c r="GK10" s="479"/>
      <c r="GL10" s="479"/>
      <c r="GM10" s="479"/>
      <c r="GN10" s="479"/>
      <c r="GO10" s="479"/>
      <c r="GP10" s="479"/>
      <c r="GQ10" s="479"/>
      <c r="GR10" s="479"/>
      <c r="GS10" s="479"/>
      <c r="GT10" s="479"/>
      <c r="GU10" s="479"/>
      <c r="GV10" s="479"/>
      <c r="GW10" s="479"/>
      <c r="GX10" s="479"/>
      <c r="GY10" s="479"/>
      <c r="GZ10" s="479"/>
      <c r="HA10" s="479"/>
      <c r="HB10" s="479"/>
      <c r="HC10" s="479"/>
      <c r="HD10" s="479"/>
      <c r="HE10" s="479"/>
      <c r="HF10" s="479"/>
      <c r="HG10" s="479"/>
      <c r="HH10" s="479"/>
      <c r="HI10" s="479"/>
      <c r="HJ10" s="479"/>
      <c r="HK10" s="479"/>
      <c r="HL10" s="479"/>
      <c r="HM10" s="479"/>
      <c r="HN10" s="479"/>
      <c r="HO10" s="479"/>
      <c r="HP10" s="479"/>
      <c r="HQ10" s="479"/>
      <c r="HR10" s="479"/>
      <c r="HS10" s="479"/>
      <c r="HT10" s="479"/>
      <c r="HU10" s="479"/>
      <c r="HV10" s="479"/>
      <c r="HW10" s="479"/>
      <c r="HX10" s="479"/>
      <c r="HY10" s="479"/>
      <c r="HZ10" s="479"/>
      <c r="IA10" s="479"/>
      <c r="IB10" s="479"/>
      <c r="IC10" s="479"/>
      <c r="ID10" s="479"/>
      <c r="IE10" s="479"/>
      <c r="IF10" s="479"/>
      <c r="IG10" s="479"/>
      <c r="IH10" s="479"/>
      <c r="II10" s="479"/>
      <c r="IJ10" s="479"/>
      <c r="IK10" s="479"/>
      <c r="IL10" s="479"/>
      <c r="IM10" s="479"/>
      <c r="IN10" s="479"/>
      <c r="IO10" s="479"/>
      <c r="IP10" s="479"/>
      <c r="IQ10" s="479"/>
      <c r="IR10" s="479"/>
      <c r="IS10" s="479"/>
      <c r="IT10" s="479"/>
      <c r="IU10" s="479"/>
      <c r="IV10" s="479"/>
      <c r="IW10" s="479"/>
      <c r="IX10" s="479"/>
      <c r="IY10" s="479"/>
      <c r="IZ10" s="479"/>
      <c r="JA10" s="479"/>
      <c r="JB10" s="479"/>
      <c r="JC10" s="479"/>
      <c r="JD10" s="479"/>
      <c r="JE10" s="479"/>
      <c r="JF10" s="479"/>
      <c r="JG10" s="479"/>
      <c r="JH10" s="479"/>
      <c r="JI10" s="479"/>
      <c r="JJ10" s="479"/>
      <c r="JK10" s="479"/>
      <c r="JL10" s="479"/>
      <c r="JM10" s="479"/>
      <c r="JN10" s="479"/>
      <c r="JO10" s="479"/>
      <c r="JP10" s="479"/>
      <c r="JQ10" s="479"/>
      <c r="JR10" s="479"/>
      <c r="JS10" s="479"/>
      <c r="JT10" s="479"/>
      <c r="JU10" s="479"/>
      <c r="JV10" s="479"/>
      <c r="JW10" s="479"/>
      <c r="JX10" s="479"/>
      <c r="JY10" s="479"/>
      <c r="JZ10" s="479"/>
      <c r="KA10" s="479"/>
      <c r="KB10" s="479"/>
      <c r="KC10" s="479"/>
      <c r="KD10" s="479"/>
      <c r="KE10" s="479"/>
      <c r="KF10" s="479"/>
      <c r="KG10" s="479"/>
      <c r="KH10" s="479"/>
      <c r="KI10" s="479"/>
      <c r="KJ10" s="479"/>
      <c r="KK10" s="479"/>
      <c r="KL10" s="479"/>
      <c r="KM10" s="479"/>
      <c r="KN10" s="479"/>
      <c r="KO10" s="479"/>
      <c r="KP10" s="479"/>
      <c r="KQ10" s="479"/>
      <c r="KR10" s="479"/>
      <c r="KS10" s="479"/>
      <c r="KT10" s="479"/>
      <c r="KU10" s="479"/>
      <c r="KV10" s="479"/>
      <c r="KW10" s="479"/>
      <c r="KX10" s="479"/>
      <c r="KY10" s="479"/>
      <c r="KZ10" s="479"/>
      <c r="LA10" s="479"/>
      <c r="LB10" s="479"/>
      <c r="LC10" s="479"/>
      <c r="LD10" s="479"/>
      <c r="LE10" s="479"/>
      <c r="LF10" s="479"/>
      <c r="LG10" s="479"/>
      <c r="LH10" s="479"/>
      <c r="LI10" s="479"/>
      <c r="LJ10" s="479"/>
      <c r="LK10" s="479"/>
      <c r="LL10" s="479"/>
      <c r="LM10" s="479"/>
      <c r="LN10" s="479"/>
      <c r="LO10" s="479"/>
      <c r="LP10" s="479"/>
      <c r="LQ10" s="479"/>
      <c r="LR10" s="479"/>
      <c r="LS10" s="479"/>
      <c r="LT10" s="479"/>
      <c r="LU10" s="479"/>
      <c r="LV10" s="479"/>
      <c r="LW10" s="479"/>
      <c r="LX10" s="479"/>
      <c r="LY10" s="479"/>
      <c r="LZ10" s="479"/>
      <c r="MA10" s="479"/>
      <c r="MB10" s="479"/>
      <c r="MC10" s="479"/>
      <c r="MD10" s="479"/>
      <c r="ME10" s="479"/>
      <c r="MF10" s="479"/>
      <c r="MG10" s="479"/>
      <c r="MH10" s="479"/>
      <c r="MI10" s="479"/>
      <c r="MJ10" s="479"/>
      <c r="MK10" s="479"/>
      <c r="ML10" s="479"/>
      <c r="MM10" s="479"/>
      <c r="MN10" s="479"/>
      <c r="MO10" s="479"/>
      <c r="MP10" s="479"/>
      <c r="MQ10" s="479"/>
      <c r="MR10" s="479"/>
      <c r="MS10" s="479"/>
      <c r="MT10" s="479"/>
      <c r="MU10" s="479"/>
      <c r="MV10" s="479"/>
      <c r="MW10" s="479"/>
      <c r="MX10" s="479"/>
      <c r="MY10" s="479"/>
      <c r="MZ10" s="479"/>
      <c r="NA10" s="479"/>
      <c r="NB10" s="479"/>
      <c r="NC10" s="479"/>
      <c r="ND10" s="479"/>
      <c r="NE10" s="479"/>
      <c r="NF10" s="479"/>
      <c r="NG10" s="479"/>
      <c r="NH10" s="479"/>
      <c r="NI10" s="479"/>
      <c r="NJ10" s="479"/>
      <c r="NK10" s="479"/>
      <c r="NL10" s="479"/>
      <c r="NM10" s="479"/>
      <c r="NN10" s="479"/>
      <c r="NO10" s="479"/>
      <c r="NP10" s="479"/>
      <c r="NQ10" s="479"/>
      <c r="NR10" s="479"/>
      <c r="NS10" s="479"/>
      <c r="NT10" s="479"/>
      <c r="NU10" s="479"/>
      <c r="NV10" s="479"/>
      <c r="NW10" s="479"/>
      <c r="NX10" s="479"/>
      <c r="NY10" s="479"/>
      <c r="NZ10" s="479"/>
      <c r="OA10" s="479"/>
      <c r="OB10" s="479"/>
      <c r="OC10" s="479"/>
      <c r="OD10" s="479"/>
      <c r="OE10" s="479"/>
      <c r="OF10" s="479"/>
      <c r="OG10" s="479"/>
      <c r="OH10" s="479"/>
      <c r="OI10" s="479"/>
      <c r="OJ10" s="479"/>
      <c r="OK10" s="479"/>
      <c r="OL10" s="479"/>
      <c r="OM10" s="479"/>
      <c r="ON10" s="479"/>
      <c r="OO10" s="479"/>
      <c r="OP10" s="479"/>
      <c r="OQ10" s="479"/>
      <c r="OR10" s="479"/>
      <c r="OS10" s="479"/>
      <c r="OT10" s="479"/>
      <c r="OU10" s="479"/>
      <c r="OV10" s="479"/>
      <c r="OW10" s="479"/>
      <c r="OX10" s="479"/>
      <c r="OY10" s="479"/>
      <c r="OZ10" s="479"/>
      <c r="PA10" s="479"/>
      <c r="PB10" s="479"/>
      <c r="PC10" s="479"/>
      <c r="PD10" s="479"/>
      <c r="PE10" s="479"/>
      <c r="PF10" s="479"/>
      <c r="PG10" s="479"/>
      <c r="PH10" s="479"/>
      <c r="PI10" s="479"/>
      <c r="PJ10" s="479"/>
      <c r="PK10" s="479"/>
      <c r="PL10" s="479"/>
      <c r="PM10" s="479"/>
      <c r="PN10" s="479"/>
      <c r="PO10" s="479"/>
      <c r="PP10" s="479"/>
      <c r="PQ10" s="479"/>
      <c r="PR10" s="479"/>
      <c r="PS10" s="479"/>
      <c r="PT10" s="479"/>
      <c r="PU10" s="479"/>
      <c r="PV10" s="479"/>
      <c r="PW10" s="479"/>
      <c r="PX10" s="479"/>
      <c r="PY10" s="479"/>
      <c r="PZ10" s="479"/>
      <c r="QA10" s="479"/>
      <c r="QB10" s="479"/>
      <c r="QC10" s="479"/>
      <c r="QD10" s="479"/>
      <c r="QE10" s="479"/>
      <c r="QF10" s="479"/>
      <c r="QG10" s="479"/>
      <c r="QH10" s="479"/>
      <c r="QI10" s="479"/>
      <c r="QJ10" s="479"/>
      <c r="QK10" s="479"/>
      <c r="QL10" s="479"/>
      <c r="QM10" s="479"/>
      <c r="QN10" s="479"/>
      <c r="QO10" s="479"/>
      <c r="QP10" s="479"/>
      <c r="QQ10" s="479"/>
      <c r="QR10" s="479"/>
      <c r="QS10" s="479"/>
      <c r="QT10" s="479"/>
      <c r="QU10" s="479"/>
      <c r="QV10" s="479"/>
      <c r="QW10" s="479"/>
      <c r="QX10" s="479"/>
      <c r="QY10" s="479"/>
      <c r="QZ10" s="479"/>
      <c r="RA10" s="479"/>
      <c r="RB10" s="479"/>
      <c r="RC10" s="479"/>
      <c r="RD10" s="479"/>
      <c r="RE10" s="479"/>
      <c r="RF10" s="479"/>
      <c r="RG10" s="479"/>
      <c r="RH10" s="479"/>
      <c r="RI10" s="479"/>
      <c r="RJ10" s="479"/>
      <c r="RK10" s="479"/>
      <c r="RL10" s="479"/>
      <c r="RM10" s="479"/>
      <c r="RN10" s="479"/>
      <c r="RO10" s="479"/>
      <c r="RP10" s="479"/>
      <c r="RQ10" s="479"/>
      <c r="RR10" s="479"/>
      <c r="RS10" s="479"/>
      <c r="RT10" s="479"/>
      <c r="RU10" s="479"/>
      <c r="RV10" s="479"/>
      <c r="RW10" s="479"/>
      <c r="RX10" s="479"/>
    </row>
    <row r="11" spans="1:492" s="59" customFormat="1" ht="20.25" customHeight="1" thickBot="1">
      <c r="A11" s="490" t="s">
        <v>466</v>
      </c>
      <c r="B11" s="511" t="s">
        <v>467</v>
      </c>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502"/>
      <c r="AN11" s="392"/>
      <c r="AO11" s="392"/>
      <c r="AP11" s="392"/>
      <c r="AQ11" s="503"/>
      <c r="AR11" s="392"/>
      <c r="AS11" s="392"/>
      <c r="AT11" s="392"/>
      <c r="AU11" s="392"/>
      <c r="AV11" s="393"/>
      <c r="AW11" s="392"/>
      <c r="AX11" s="392"/>
      <c r="AY11" s="392"/>
      <c r="AZ11" s="392"/>
      <c r="BA11" s="494"/>
      <c r="BB11" s="502">
        <f>BB20</f>
        <v>1026.7</v>
      </c>
      <c r="BC11" s="392">
        <f>SUM(BC12:BC13)</f>
        <v>1001.4999999999999</v>
      </c>
      <c r="BD11" s="392">
        <f t="shared" ref="BD11:BF11" si="13">SUM(BD12:BD13)</f>
        <v>1082.0999999999999</v>
      </c>
      <c r="BE11" s="392">
        <f t="shared" si="13"/>
        <v>1127.5</v>
      </c>
      <c r="BF11" s="503">
        <f t="shared" si="13"/>
        <v>4237.8</v>
      </c>
      <c r="BG11" s="392">
        <f t="shared" ref="BG11:BH11" si="14">SUM(BG12:BG13)</f>
        <v>1082.7</v>
      </c>
      <c r="BH11" s="392">
        <f t="shared" si="14"/>
        <v>1140.9000000000001</v>
      </c>
      <c r="BI11" s="392">
        <f>SUM(BI12:BI13)</f>
        <v>904.19999999999993</v>
      </c>
      <c r="BJ11" s="392">
        <f>SUM(BJ12:BJ13)</f>
        <v>891.19999999999993</v>
      </c>
      <c r="BK11" s="503">
        <f>SUM(BK12:BK13)</f>
        <v>4019</v>
      </c>
      <c r="BL11" s="392">
        <f>SUM(BL12:BL16)</f>
        <v>800.7</v>
      </c>
      <c r="BM11" s="672">
        <f>SUM(BM12:BM16)</f>
        <v>893.3</v>
      </c>
      <c r="BN11" s="392">
        <f t="shared" ref="BN11" si="15">SUM(BN12:BN16)</f>
        <v>839.59999999999968</v>
      </c>
      <c r="BO11" s="392">
        <f>SUM(BO12:BO16)</f>
        <v>818.5</v>
      </c>
      <c r="BP11" s="503">
        <f>SUM(BP12:BP16)</f>
        <v>3352.1</v>
      </c>
      <c r="BQ11" s="392">
        <f>SUM(BQ12:BQ16)</f>
        <v>761.2</v>
      </c>
      <c r="BR11" s="672">
        <f>SUM(BR12:BR16)</f>
        <v>798.5</v>
      </c>
      <c r="BS11" s="392">
        <f t="shared" ref="BS11:BT11" si="16">SUM(BS12:BS16)</f>
        <v>774.7</v>
      </c>
      <c r="BT11" s="392">
        <f t="shared" si="16"/>
        <v>677.09999999999991</v>
      </c>
      <c r="BU11" s="825">
        <f>SUM(BU12:BU16)</f>
        <v>3011.5</v>
      </c>
      <c r="BV11" s="392">
        <f>SUM(BV12:BV16)</f>
        <v>936.3</v>
      </c>
      <c r="BW11" s="672">
        <f>SUM(BW12:BW16)</f>
        <v>865</v>
      </c>
      <c r="BX11" s="392">
        <f t="shared" ref="BX11:BY11" si="17">SUM(BX12:BX16)</f>
        <v>886.4000000000002</v>
      </c>
      <c r="BY11" s="392">
        <f t="shared" si="17"/>
        <v>739.9</v>
      </c>
      <c r="BZ11" s="825">
        <f>SUM(BZ12:BZ16)</f>
        <v>3427.6</v>
      </c>
      <c r="CA11" s="392">
        <f>SUM(CA12:CA16)</f>
        <v>809.3</v>
      </c>
      <c r="CB11" s="672"/>
      <c r="CC11" s="392"/>
      <c r="CD11" s="392"/>
      <c r="CE11" s="825">
        <f>SUM(CE12:CE16)</f>
        <v>809.3</v>
      </c>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c r="IV11" s="11"/>
      <c r="IW11" s="11"/>
      <c r="IX11" s="11"/>
      <c r="IY11" s="11"/>
      <c r="IZ11" s="11"/>
      <c r="JA11" s="11"/>
      <c r="JB11" s="11"/>
      <c r="JC11" s="11"/>
      <c r="JD11" s="11"/>
      <c r="JE11" s="11"/>
      <c r="JF11" s="11"/>
      <c r="JG11" s="11"/>
      <c r="JH11" s="11"/>
      <c r="JI11" s="11"/>
      <c r="JJ11" s="11"/>
      <c r="JK11" s="11"/>
      <c r="JL11" s="11"/>
      <c r="JM11" s="11"/>
      <c r="JN11" s="11"/>
      <c r="JO11" s="11"/>
      <c r="JP11" s="11"/>
      <c r="JQ11" s="11"/>
      <c r="JR11" s="11"/>
      <c r="JS11" s="11"/>
      <c r="JT11" s="11"/>
      <c r="JU11" s="11"/>
      <c r="JV11" s="11"/>
      <c r="JW11" s="11"/>
      <c r="JX11" s="11"/>
      <c r="JY11" s="11"/>
      <c r="JZ11" s="11"/>
      <c r="KA11" s="11"/>
      <c r="KB11" s="11"/>
      <c r="KC11" s="11"/>
      <c r="KD11" s="11"/>
      <c r="KE11" s="11"/>
      <c r="KF11" s="11"/>
      <c r="KG11" s="11"/>
      <c r="KH11" s="11"/>
      <c r="KI11" s="11"/>
      <c r="KJ11" s="11"/>
      <c r="KK11" s="11"/>
      <c r="KL11" s="11"/>
      <c r="KM11" s="11"/>
      <c r="KN11" s="11"/>
      <c r="KO11" s="11"/>
      <c r="KP11" s="11"/>
      <c r="KQ11" s="11"/>
      <c r="KR11" s="11"/>
      <c r="KS11" s="11"/>
      <c r="KT11" s="11"/>
      <c r="KU11" s="11"/>
      <c r="KV11" s="11"/>
      <c r="KW11" s="11"/>
      <c r="KX11" s="11"/>
      <c r="KY11" s="11"/>
      <c r="KZ11" s="11"/>
      <c r="LA11" s="11"/>
      <c r="LB11" s="11"/>
      <c r="LC11" s="11"/>
      <c r="LD11" s="11"/>
      <c r="LE11" s="11"/>
      <c r="LF11" s="11"/>
      <c r="LG11" s="11"/>
      <c r="LH11" s="11"/>
      <c r="LI11" s="11"/>
      <c r="LJ11" s="11"/>
      <c r="LK11" s="11"/>
      <c r="LL11" s="11"/>
      <c r="LM11" s="11"/>
      <c r="LN11" s="11"/>
      <c r="LO11" s="11"/>
      <c r="LP11" s="11"/>
      <c r="LQ11" s="11"/>
      <c r="LR11" s="11"/>
      <c r="LS11" s="11"/>
      <c r="LT11" s="11"/>
      <c r="LU11" s="11"/>
      <c r="LV11" s="11"/>
      <c r="LW11" s="11"/>
      <c r="LX11" s="11"/>
      <c r="LY11" s="11"/>
      <c r="LZ11" s="11"/>
      <c r="MA11" s="11"/>
      <c r="MB11" s="11"/>
      <c r="MC11" s="11"/>
      <c r="MD11" s="11"/>
      <c r="ME11" s="11"/>
      <c r="MF11" s="11"/>
      <c r="MG11" s="11"/>
      <c r="MH11" s="11"/>
      <c r="MI11" s="11"/>
      <c r="MJ11" s="11"/>
      <c r="MK11" s="11"/>
      <c r="ML11" s="11"/>
      <c r="MM11" s="11"/>
      <c r="MN11" s="11"/>
      <c r="MO11" s="11"/>
      <c r="MP11" s="11"/>
      <c r="MQ11" s="11"/>
      <c r="MR11" s="11"/>
      <c r="MS11" s="11"/>
      <c r="MT11" s="11"/>
      <c r="MU11" s="11"/>
      <c r="MV11" s="11"/>
      <c r="MW11" s="11"/>
      <c r="MX11" s="11"/>
      <c r="MY11" s="11"/>
      <c r="MZ11" s="11"/>
      <c r="NA11" s="11"/>
      <c r="NB11" s="11"/>
      <c r="NC11" s="11"/>
      <c r="ND11" s="11"/>
      <c r="NE11" s="11"/>
      <c r="NF11" s="11"/>
      <c r="NG11" s="11"/>
      <c r="NH11" s="11"/>
      <c r="NI11" s="11"/>
      <c r="NJ11" s="11"/>
      <c r="NK11" s="11"/>
      <c r="NL11" s="11"/>
      <c r="NM11" s="11"/>
      <c r="NN11" s="11"/>
      <c r="NO11" s="11"/>
      <c r="NP11" s="11"/>
      <c r="NQ11" s="11"/>
      <c r="NR11" s="11"/>
      <c r="NS11" s="11"/>
      <c r="NT11" s="11"/>
      <c r="NU11" s="11"/>
      <c r="NV11" s="11"/>
      <c r="NW11" s="11"/>
      <c r="NX11" s="11"/>
      <c r="NY11" s="11"/>
      <c r="NZ11" s="11"/>
      <c r="OA11" s="11"/>
      <c r="OB11" s="11"/>
      <c r="OC11" s="11"/>
      <c r="OD11" s="11"/>
      <c r="OE11" s="11"/>
      <c r="OF11" s="11"/>
      <c r="OG11" s="11"/>
      <c r="OH11" s="11"/>
      <c r="OI11" s="11"/>
      <c r="OJ11" s="11"/>
      <c r="OK11" s="11"/>
      <c r="OL11" s="11"/>
      <c r="OM11" s="11"/>
      <c r="ON11" s="11"/>
      <c r="OO11" s="11"/>
      <c r="OP11" s="11"/>
      <c r="OQ11" s="11"/>
      <c r="OR11" s="11"/>
      <c r="OS11" s="11"/>
      <c r="OT11" s="11"/>
      <c r="OU11" s="11"/>
      <c r="OV11" s="11"/>
      <c r="OW11" s="11"/>
      <c r="OX11" s="11"/>
      <c r="OY11" s="11"/>
      <c r="OZ11" s="11"/>
      <c r="PA11" s="11"/>
      <c r="PB11" s="11"/>
      <c r="PC11" s="11"/>
      <c r="PD11" s="11"/>
      <c r="PE11" s="11"/>
      <c r="PF11" s="11"/>
      <c r="PG11" s="11"/>
      <c r="PH11" s="11"/>
      <c r="PI11" s="11"/>
      <c r="PJ11" s="11"/>
      <c r="PK11" s="11"/>
      <c r="PL11" s="11"/>
      <c r="PM11" s="11"/>
      <c r="PN11" s="11"/>
      <c r="PO11" s="11"/>
      <c r="PP11" s="11"/>
      <c r="PQ11" s="11"/>
      <c r="PR11" s="11"/>
      <c r="PS11" s="11"/>
      <c r="PT11" s="11"/>
      <c r="PU11" s="11"/>
      <c r="PV11" s="11"/>
      <c r="PW11" s="11"/>
      <c r="PX11" s="11"/>
      <c r="PY11" s="11"/>
      <c r="PZ11" s="11"/>
      <c r="QA11" s="11"/>
      <c r="QB11" s="11"/>
      <c r="QC11" s="11"/>
      <c r="QD11" s="11"/>
      <c r="QE11" s="11"/>
      <c r="QF11" s="11"/>
      <c r="QG11" s="11"/>
      <c r="QH11" s="11"/>
      <c r="QI11" s="11"/>
      <c r="QJ11" s="11"/>
      <c r="QK11" s="11"/>
      <c r="QL11" s="11"/>
      <c r="QM11" s="11"/>
      <c r="QN11" s="11"/>
      <c r="QO11" s="11"/>
      <c r="QP11" s="11"/>
      <c r="QQ11" s="11"/>
      <c r="QR11" s="11"/>
      <c r="QS11" s="11"/>
      <c r="QT11" s="11"/>
      <c r="QU11" s="11"/>
      <c r="QV11" s="11"/>
      <c r="QW11" s="11"/>
      <c r="QX11" s="11"/>
      <c r="QY11" s="11"/>
      <c r="QZ11" s="11"/>
      <c r="RA11" s="11"/>
      <c r="RB11" s="11"/>
      <c r="RC11" s="11"/>
      <c r="RD11" s="11"/>
      <c r="RE11" s="11"/>
      <c r="RF11" s="11"/>
      <c r="RG11" s="11"/>
      <c r="RH11" s="11"/>
      <c r="RI11" s="11"/>
      <c r="RJ11" s="11"/>
      <c r="RK11" s="11"/>
      <c r="RL11" s="11"/>
      <c r="RM11" s="11"/>
      <c r="RN11" s="11"/>
      <c r="RO11" s="11"/>
      <c r="RP11" s="11"/>
      <c r="RQ11" s="11"/>
      <c r="RR11" s="11"/>
      <c r="RS11" s="11"/>
      <c r="RT11" s="11"/>
      <c r="RU11" s="11"/>
      <c r="RV11" s="11"/>
      <c r="RW11" s="11"/>
      <c r="RX11" s="11"/>
    </row>
    <row r="12" spans="1:492" s="815" customFormat="1" ht="20.149999999999999" customHeight="1">
      <c r="A12" s="802" t="s">
        <v>456</v>
      </c>
      <c r="B12" s="803" t="s">
        <v>457</v>
      </c>
      <c r="C12" s="804"/>
      <c r="D12" s="804"/>
      <c r="E12" s="804"/>
      <c r="F12" s="804"/>
      <c r="G12" s="804"/>
      <c r="H12" s="804"/>
      <c r="I12" s="804"/>
      <c r="J12" s="804"/>
      <c r="K12" s="804"/>
      <c r="L12" s="804"/>
      <c r="M12" s="804"/>
      <c r="N12" s="804"/>
      <c r="O12" s="804"/>
      <c r="P12" s="804"/>
      <c r="Q12" s="804"/>
      <c r="R12" s="804"/>
      <c r="S12" s="804"/>
      <c r="T12" s="804"/>
      <c r="U12" s="804"/>
      <c r="V12" s="804"/>
      <c r="W12" s="804"/>
      <c r="X12" s="804"/>
      <c r="Y12" s="804"/>
      <c r="Z12" s="804"/>
      <c r="AA12" s="804"/>
      <c r="AB12" s="804"/>
      <c r="AC12" s="804"/>
      <c r="AD12" s="804"/>
      <c r="AE12" s="804"/>
      <c r="AF12" s="804"/>
      <c r="AG12" s="804"/>
      <c r="AH12" s="804"/>
      <c r="AI12" s="804"/>
      <c r="AJ12" s="804"/>
      <c r="AK12" s="804"/>
      <c r="AL12" s="804"/>
      <c r="AM12" s="805"/>
      <c r="AN12" s="806"/>
      <c r="AO12" s="806"/>
      <c r="AP12" s="806"/>
      <c r="AQ12" s="807"/>
      <c r="AR12" s="808"/>
      <c r="AS12" s="808"/>
      <c r="AT12" s="808"/>
      <c r="AU12" s="808"/>
      <c r="AV12" s="808"/>
      <c r="AW12" s="806"/>
      <c r="AX12" s="806"/>
      <c r="AY12" s="806"/>
      <c r="AZ12" s="806"/>
      <c r="BA12" s="806"/>
      <c r="BB12" s="809">
        <v>879.6</v>
      </c>
      <c r="BC12" s="810">
        <v>879.19999999999993</v>
      </c>
      <c r="BD12" s="810">
        <v>946.89999999999986</v>
      </c>
      <c r="BE12" s="810">
        <v>925.9</v>
      </c>
      <c r="BF12" s="811">
        <f>SUM(BB12:BE12)</f>
        <v>3631.6</v>
      </c>
      <c r="BG12" s="810">
        <v>936.6</v>
      </c>
      <c r="BH12" s="810">
        <v>951.80000000000007</v>
      </c>
      <c r="BI12" s="810">
        <v>786.3</v>
      </c>
      <c r="BJ12" s="810">
        <f>3389.7-SUM(BG12:BI12)</f>
        <v>715</v>
      </c>
      <c r="BK12" s="812">
        <f>SUM(BG12:BJ12)</f>
        <v>3389.7</v>
      </c>
      <c r="BL12" s="810">
        <v>704.1</v>
      </c>
      <c r="BM12" s="813">
        <f>1453.5-BL12</f>
        <v>749.4</v>
      </c>
      <c r="BN12" s="810">
        <f>2211.7-BM12-BL12</f>
        <v>758.1999999999997</v>
      </c>
      <c r="BO12" s="810">
        <f>2834-BN12-BM12-BL12</f>
        <v>622.30000000000007</v>
      </c>
      <c r="BP12" s="812">
        <f>SUM(BL12:BO12)</f>
        <v>2834</v>
      </c>
      <c r="BQ12" s="810">
        <f>BQ21</f>
        <v>663.2</v>
      </c>
      <c r="BR12" s="810">
        <f>BR21</f>
        <v>635</v>
      </c>
      <c r="BS12" s="810">
        <v>658.3</v>
      </c>
      <c r="BT12" s="810">
        <v>536.6</v>
      </c>
      <c r="BU12" s="824">
        <f>SUM(BQ12:BT12)</f>
        <v>2493.1</v>
      </c>
      <c r="BV12" s="810">
        <v>777.8</v>
      </c>
      <c r="BW12" s="810">
        <v>646.29999999999995</v>
      </c>
      <c r="BX12" s="810">
        <v>649.80000000000018</v>
      </c>
      <c r="BY12" s="810">
        <v>486.09999999999991</v>
      </c>
      <c r="BZ12" s="824">
        <f>SUM(BV12:BY12)</f>
        <v>2560</v>
      </c>
      <c r="CA12" s="810">
        <v>607.9</v>
      </c>
      <c r="CB12" s="810"/>
      <c r="CC12" s="810"/>
      <c r="CD12" s="810"/>
      <c r="CE12" s="824">
        <f>SUM(CA12:CD12)</f>
        <v>607.9</v>
      </c>
      <c r="CF12" s="814"/>
      <c r="CG12" s="945"/>
      <c r="CH12" s="814"/>
      <c r="CI12" s="814"/>
      <c r="CJ12" s="814"/>
      <c r="CK12" s="814"/>
      <c r="CL12" s="814"/>
      <c r="CM12" s="814"/>
      <c r="CN12" s="814"/>
      <c r="CO12" s="814"/>
      <c r="CP12" s="814"/>
      <c r="CQ12" s="814"/>
      <c r="CR12" s="814"/>
      <c r="CS12" s="814"/>
      <c r="CT12" s="814"/>
      <c r="CU12" s="814"/>
      <c r="CV12" s="814"/>
      <c r="CW12" s="814"/>
      <c r="CX12" s="814"/>
      <c r="CY12" s="814"/>
      <c r="CZ12" s="814"/>
      <c r="DA12" s="814"/>
      <c r="DB12" s="814"/>
      <c r="DC12" s="814"/>
      <c r="DD12" s="814"/>
      <c r="DE12" s="814"/>
      <c r="DF12" s="814"/>
      <c r="DG12" s="814"/>
      <c r="DH12" s="814"/>
      <c r="DI12" s="814"/>
      <c r="DJ12" s="814"/>
      <c r="DK12" s="814"/>
      <c r="DL12" s="814"/>
      <c r="DM12" s="814"/>
      <c r="DN12" s="814"/>
      <c r="DO12" s="814"/>
      <c r="DP12" s="814"/>
      <c r="DQ12" s="814"/>
      <c r="DR12" s="814"/>
      <c r="DS12" s="814"/>
      <c r="DT12" s="814"/>
      <c r="DU12" s="814"/>
      <c r="DV12" s="814"/>
      <c r="DW12" s="814"/>
      <c r="DX12" s="814"/>
      <c r="DY12" s="814"/>
      <c r="DZ12" s="814"/>
      <c r="EA12" s="814"/>
      <c r="EB12" s="814"/>
      <c r="EC12" s="814"/>
      <c r="ED12" s="814"/>
      <c r="EE12" s="814"/>
      <c r="EF12" s="814"/>
      <c r="EG12" s="814"/>
      <c r="EH12" s="814"/>
      <c r="EI12" s="814"/>
      <c r="EJ12" s="814"/>
      <c r="EK12" s="814"/>
      <c r="EL12" s="814"/>
      <c r="EM12" s="814"/>
      <c r="EN12" s="814"/>
      <c r="EO12" s="814"/>
      <c r="EP12" s="814"/>
      <c r="EQ12" s="814"/>
      <c r="ER12" s="814"/>
      <c r="ES12" s="814"/>
      <c r="ET12" s="814"/>
      <c r="EU12" s="814"/>
      <c r="EV12" s="814"/>
      <c r="EW12" s="814"/>
      <c r="EX12" s="814"/>
      <c r="EY12" s="814"/>
      <c r="EZ12" s="814"/>
      <c r="FA12" s="814"/>
      <c r="FB12" s="814"/>
      <c r="FC12" s="814"/>
      <c r="FD12" s="814"/>
      <c r="FE12" s="814"/>
      <c r="FF12" s="814"/>
      <c r="FG12" s="814"/>
      <c r="FH12" s="814"/>
      <c r="FI12" s="814"/>
      <c r="FJ12" s="814"/>
      <c r="FK12" s="814"/>
      <c r="FL12" s="814"/>
      <c r="FM12" s="814"/>
      <c r="FN12" s="814"/>
      <c r="FO12" s="814"/>
      <c r="FP12" s="814"/>
      <c r="FQ12" s="814"/>
      <c r="FR12" s="814"/>
      <c r="FS12" s="814"/>
      <c r="FT12" s="814"/>
      <c r="FU12" s="814"/>
      <c r="FV12" s="814"/>
      <c r="FW12" s="814"/>
      <c r="FX12" s="814"/>
      <c r="FY12" s="814"/>
      <c r="FZ12" s="814"/>
      <c r="GA12" s="814"/>
      <c r="GB12" s="814"/>
      <c r="GC12" s="814"/>
      <c r="GD12" s="814"/>
      <c r="GE12" s="814"/>
      <c r="GF12" s="814"/>
      <c r="GG12" s="814"/>
      <c r="GH12" s="814"/>
      <c r="GI12" s="814"/>
      <c r="GJ12" s="814"/>
      <c r="GK12" s="814"/>
      <c r="GL12" s="814"/>
      <c r="GM12" s="814"/>
      <c r="GN12" s="814"/>
      <c r="GO12" s="814"/>
      <c r="GP12" s="814"/>
      <c r="GQ12" s="814"/>
      <c r="GR12" s="814"/>
      <c r="GS12" s="814"/>
      <c r="GT12" s="814"/>
      <c r="GU12" s="814"/>
      <c r="GV12" s="814"/>
      <c r="GW12" s="814"/>
      <c r="GX12" s="814"/>
      <c r="GY12" s="814"/>
      <c r="GZ12" s="814"/>
      <c r="HA12" s="814"/>
      <c r="HB12" s="814"/>
      <c r="HC12" s="814"/>
      <c r="HD12" s="814"/>
      <c r="HE12" s="814"/>
      <c r="HF12" s="814"/>
      <c r="HG12" s="814"/>
      <c r="HH12" s="814"/>
      <c r="HI12" s="814"/>
      <c r="HJ12" s="814"/>
      <c r="HK12" s="814"/>
      <c r="HL12" s="814"/>
      <c r="HM12" s="814"/>
      <c r="HN12" s="814"/>
      <c r="HO12" s="814"/>
      <c r="HP12" s="814"/>
      <c r="HQ12" s="814"/>
      <c r="HR12" s="814"/>
      <c r="HS12" s="814"/>
      <c r="HT12" s="814"/>
      <c r="HU12" s="814"/>
      <c r="HV12" s="814"/>
      <c r="HW12" s="814"/>
      <c r="HX12" s="814"/>
      <c r="HY12" s="814"/>
      <c r="HZ12" s="814"/>
      <c r="IA12" s="814"/>
      <c r="IB12" s="814"/>
      <c r="IC12" s="814"/>
      <c r="ID12" s="814"/>
      <c r="IE12" s="814"/>
      <c r="IF12" s="814"/>
      <c r="IG12" s="814"/>
      <c r="IH12" s="814"/>
      <c r="II12" s="814"/>
      <c r="IJ12" s="814"/>
      <c r="IK12" s="814"/>
      <c r="IL12" s="814"/>
      <c r="IM12" s="814"/>
      <c r="IN12" s="814"/>
      <c r="IO12" s="814"/>
      <c r="IP12" s="814"/>
      <c r="IQ12" s="814"/>
      <c r="IR12" s="814"/>
      <c r="IS12" s="814"/>
      <c r="IT12" s="814"/>
      <c r="IU12" s="814"/>
      <c r="IV12" s="814"/>
      <c r="IW12" s="814"/>
      <c r="IX12" s="814"/>
      <c r="IY12" s="814"/>
      <c r="IZ12" s="814"/>
      <c r="JA12" s="814"/>
      <c r="JB12" s="814"/>
      <c r="JC12" s="814"/>
      <c r="JD12" s="814"/>
      <c r="JE12" s="814"/>
      <c r="JF12" s="814"/>
      <c r="JG12" s="814"/>
      <c r="JH12" s="814"/>
      <c r="JI12" s="814"/>
      <c r="JJ12" s="814"/>
      <c r="JK12" s="814"/>
      <c r="JL12" s="814"/>
      <c r="JM12" s="814"/>
      <c r="JN12" s="814"/>
      <c r="JO12" s="814"/>
      <c r="JP12" s="814"/>
      <c r="JQ12" s="814"/>
      <c r="JR12" s="814"/>
      <c r="JS12" s="814"/>
      <c r="JT12" s="814"/>
      <c r="JU12" s="814"/>
      <c r="JV12" s="814"/>
      <c r="JW12" s="814"/>
      <c r="JX12" s="814"/>
      <c r="JY12" s="814"/>
      <c r="JZ12" s="814"/>
      <c r="KA12" s="814"/>
      <c r="KB12" s="814"/>
      <c r="KC12" s="814"/>
      <c r="KD12" s="814"/>
      <c r="KE12" s="814"/>
      <c r="KF12" s="814"/>
      <c r="KG12" s="814"/>
      <c r="KH12" s="814"/>
      <c r="KI12" s="814"/>
      <c r="KJ12" s="814"/>
      <c r="KK12" s="814"/>
      <c r="KL12" s="814"/>
      <c r="KM12" s="814"/>
      <c r="KN12" s="814"/>
      <c r="KO12" s="814"/>
      <c r="KP12" s="814"/>
      <c r="KQ12" s="814"/>
      <c r="KR12" s="814"/>
      <c r="KS12" s="814"/>
      <c r="KT12" s="814"/>
      <c r="KU12" s="814"/>
      <c r="KV12" s="814"/>
      <c r="KW12" s="814"/>
      <c r="KX12" s="814"/>
      <c r="KY12" s="814"/>
      <c r="KZ12" s="814"/>
      <c r="LA12" s="814"/>
      <c r="LB12" s="814"/>
      <c r="LC12" s="814"/>
      <c r="LD12" s="814"/>
      <c r="LE12" s="814"/>
      <c r="LF12" s="814"/>
      <c r="LG12" s="814"/>
      <c r="LH12" s="814"/>
      <c r="LI12" s="814"/>
      <c r="LJ12" s="814"/>
      <c r="LK12" s="814"/>
      <c r="LL12" s="814"/>
      <c r="LM12" s="814"/>
      <c r="LN12" s="814"/>
      <c r="LO12" s="814"/>
      <c r="LP12" s="814"/>
      <c r="LQ12" s="814"/>
      <c r="LR12" s="814"/>
      <c r="LS12" s="814"/>
      <c r="LT12" s="814"/>
      <c r="LU12" s="814"/>
      <c r="LV12" s="814"/>
      <c r="LW12" s="814"/>
      <c r="LX12" s="814"/>
      <c r="LY12" s="814"/>
      <c r="LZ12" s="814"/>
      <c r="MA12" s="814"/>
      <c r="MB12" s="814"/>
      <c r="MC12" s="814"/>
      <c r="MD12" s="814"/>
      <c r="ME12" s="814"/>
      <c r="MF12" s="814"/>
      <c r="MG12" s="814"/>
      <c r="MH12" s="814"/>
      <c r="MI12" s="814"/>
      <c r="MJ12" s="814"/>
      <c r="MK12" s="814"/>
      <c r="ML12" s="814"/>
      <c r="MM12" s="814"/>
      <c r="MN12" s="814"/>
      <c r="MO12" s="814"/>
      <c r="MP12" s="814"/>
      <c r="MQ12" s="814"/>
      <c r="MR12" s="814"/>
      <c r="MS12" s="814"/>
      <c r="MT12" s="814"/>
      <c r="MU12" s="814"/>
      <c r="MV12" s="814"/>
      <c r="MW12" s="814"/>
      <c r="MX12" s="814"/>
      <c r="MY12" s="814"/>
      <c r="MZ12" s="814"/>
      <c r="NA12" s="814"/>
      <c r="NB12" s="814"/>
      <c r="NC12" s="814"/>
      <c r="ND12" s="814"/>
      <c r="NE12" s="814"/>
      <c r="NF12" s="814"/>
      <c r="NG12" s="814"/>
      <c r="NH12" s="814"/>
      <c r="NI12" s="814"/>
      <c r="NJ12" s="814"/>
      <c r="NK12" s="814"/>
      <c r="NL12" s="814"/>
      <c r="NM12" s="814"/>
      <c r="NN12" s="814"/>
      <c r="NO12" s="814"/>
      <c r="NP12" s="814"/>
      <c r="NQ12" s="814"/>
      <c r="NR12" s="814"/>
      <c r="NS12" s="814"/>
      <c r="NT12" s="814"/>
      <c r="NU12" s="814"/>
      <c r="NV12" s="814"/>
      <c r="NW12" s="814"/>
      <c r="NX12" s="814"/>
      <c r="NY12" s="814"/>
      <c r="NZ12" s="814"/>
      <c r="OA12" s="814"/>
      <c r="OB12" s="814"/>
      <c r="OC12" s="814"/>
      <c r="OD12" s="814"/>
      <c r="OE12" s="814"/>
      <c r="OF12" s="814"/>
      <c r="OG12" s="814"/>
      <c r="OH12" s="814"/>
      <c r="OI12" s="814"/>
      <c r="OJ12" s="814"/>
      <c r="OK12" s="814"/>
      <c r="OL12" s="814"/>
      <c r="OM12" s="814"/>
      <c r="ON12" s="814"/>
      <c r="OO12" s="814"/>
      <c r="OP12" s="814"/>
      <c r="OQ12" s="814"/>
      <c r="OR12" s="814"/>
      <c r="OS12" s="814"/>
      <c r="OT12" s="814"/>
      <c r="OU12" s="814"/>
      <c r="OV12" s="814"/>
      <c r="OW12" s="814"/>
      <c r="OX12" s="814"/>
      <c r="OY12" s="814"/>
      <c r="OZ12" s="814"/>
      <c r="PA12" s="814"/>
      <c r="PB12" s="814"/>
      <c r="PC12" s="814"/>
      <c r="PD12" s="814"/>
      <c r="PE12" s="814"/>
      <c r="PF12" s="814"/>
      <c r="PG12" s="814"/>
      <c r="PH12" s="814"/>
      <c r="PI12" s="814"/>
      <c r="PJ12" s="814"/>
      <c r="PK12" s="814"/>
      <c r="PL12" s="814"/>
      <c r="PM12" s="814"/>
      <c r="PN12" s="814"/>
      <c r="PO12" s="814"/>
      <c r="PP12" s="814"/>
      <c r="PQ12" s="814"/>
      <c r="PR12" s="814"/>
      <c r="PS12" s="814"/>
      <c r="PT12" s="814"/>
      <c r="PU12" s="814"/>
      <c r="PV12" s="814"/>
      <c r="PW12" s="814"/>
      <c r="PX12" s="814"/>
      <c r="PY12" s="814"/>
      <c r="PZ12" s="814"/>
      <c r="QA12" s="814"/>
      <c r="QB12" s="814"/>
      <c r="QC12" s="814"/>
      <c r="QD12" s="814"/>
      <c r="QE12" s="814"/>
      <c r="QF12" s="814"/>
      <c r="QG12" s="814"/>
      <c r="QH12" s="814"/>
      <c r="QI12" s="814"/>
      <c r="QJ12" s="814"/>
      <c r="QK12" s="814"/>
      <c r="QL12" s="814"/>
      <c r="QM12" s="814"/>
      <c r="QN12" s="814"/>
      <c r="QO12" s="814"/>
      <c r="QP12" s="814"/>
      <c r="QQ12" s="814"/>
      <c r="QR12" s="814"/>
      <c r="QS12" s="814"/>
      <c r="QT12" s="814"/>
      <c r="QU12" s="814"/>
      <c r="QV12" s="814"/>
      <c r="QW12" s="814"/>
      <c r="QX12" s="814"/>
      <c r="QY12" s="814"/>
      <c r="QZ12" s="814"/>
      <c r="RA12" s="814"/>
      <c r="RB12" s="814"/>
      <c r="RC12" s="814"/>
      <c r="RD12" s="814"/>
      <c r="RE12" s="814"/>
      <c r="RF12" s="814"/>
      <c r="RG12" s="814"/>
      <c r="RH12" s="814"/>
      <c r="RI12" s="814"/>
      <c r="RJ12" s="814"/>
      <c r="RK12" s="814"/>
      <c r="RL12" s="814"/>
      <c r="RM12" s="814"/>
      <c r="RN12" s="814"/>
      <c r="RO12" s="814"/>
      <c r="RP12" s="814"/>
      <c r="RQ12" s="814"/>
      <c r="RR12" s="814"/>
      <c r="RS12" s="814"/>
      <c r="RT12" s="814"/>
      <c r="RU12" s="814"/>
      <c r="RV12" s="814"/>
      <c r="RW12" s="814"/>
      <c r="RX12" s="814"/>
    </row>
    <row r="13" spans="1:492" s="815" customFormat="1" ht="20.149999999999999" customHeight="1">
      <c r="A13" s="802" t="s">
        <v>458</v>
      </c>
      <c r="B13" s="803" t="s">
        <v>459</v>
      </c>
      <c r="C13" s="804"/>
      <c r="D13" s="804"/>
      <c r="E13" s="804"/>
      <c r="F13" s="804"/>
      <c r="G13" s="804"/>
      <c r="H13" s="804"/>
      <c r="I13" s="804"/>
      <c r="J13" s="804"/>
      <c r="K13" s="804"/>
      <c r="L13" s="804"/>
      <c r="M13" s="804"/>
      <c r="N13" s="804"/>
      <c r="O13" s="804"/>
      <c r="P13" s="804"/>
      <c r="Q13" s="804"/>
      <c r="R13" s="804"/>
      <c r="S13" s="804"/>
      <c r="T13" s="804"/>
      <c r="U13" s="804"/>
      <c r="V13" s="804"/>
      <c r="W13" s="804"/>
      <c r="X13" s="804"/>
      <c r="Y13" s="804"/>
      <c r="Z13" s="804"/>
      <c r="AA13" s="804"/>
      <c r="AB13" s="804"/>
      <c r="AC13" s="804"/>
      <c r="AD13" s="804"/>
      <c r="AE13" s="804"/>
      <c r="AF13" s="804"/>
      <c r="AG13" s="804"/>
      <c r="AH13" s="804"/>
      <c r="AI13" s="804"/>
      <c r="AJ13" s="804"/>
      <c r="AK13" s="804"/>
      <c r="AL13" s="804"/>
      <c r="AM13" s="805"/>
      <c r="AN13" s="806"/>
      <c r="AO13" s="806"/>
      <c r="AP13" s="806"/>
      <c r="AQ13" s="807"/>
      <c r="AR13" s="808"/>
      <c r="AS13" s="808"/>
      <c r="AT13" s="808"/>
      <c r="AU13" s="808"/>
      <c r="AV13" s="808"/>
      <c r="AW13" s="806"/>
      <c r="AX13" s="806"/>
      <c r="AY13" s="806"/>
      <c r="AZ13" s="806"/>
      <c r="BA13" s="806"/>
      <c r="BB13" s="809">
        <v>147.1</v>
      </c>
      <c r="BC13" s="810">
        <v>122.29999999999998</v>
      </c>
      <c r="BD13" s="810">
        <v>135.20000000000005</v>
      </c>
      <c r="BE13" s="810">
        <v>201.6</v>
      </c>
      <c r="BF13" s="811">
        <f t="shared" ref="BF13" si="18">SUM(BB13:BE13)</f>
        <v>606.20000000000005</v>
      </c>
      <c r="BG13" s="810">
        <v>146.1</v>
      </c>
      <c r="BH13" s="810">
        <v>189.1</v>
      </c>
      <c r="BI13" s="810">
        <v>117.9</v>
      </c>
      <c r="BJ13" s="810">
        <f>629.3-SUM(BG13:BI13)</f>
        <v>176.19999999999993</v>
      </c>
      <c r="BK13" s="812">
        <f t="shared" ref="BK13:BK18" si="19">SUM(BG13:BJ13)</f>
        <v>629.29999999999995</v>
      </c>
      <c r="BL13" s="810">
        <v>96.6</v>
      </c>
      <c r="BM13" s="813">
        <f>239-BL13</f>
        <v>142.4</v>
      </c>
      <c r="BN13" s="810">
        <f>315.8-BM13-BL13</f>
        <v>76.800000000000011</v>
      </c>
      <c r="BO13" s="810">
        <f>506-BN13-BM13-BL13</f>
        <v>190.19999999999996</v>
      </c>
      <c r="BP13" s="812">
        <f t="shared" ref="BP13:BP19" si="20">SUM(BL13:BO13)</f>
        <v>506</v>
      </c>
      <c r="BQ13" s="810">
        <f t="shared" ref="BQ13:BR13" si="21">BQ22</f>
        <v>92.5</v>
      </c>
      <c r="BR13" s="810">
        <f t="shared" si="21"/>
        <v>156.69999999999999</v>
      </c>
      <c r="BS13" s="810">
        <v>83.100000000000023</v>
      </c>
      <c r="BT13" s="810">
        <v>139.69999999999999</v>
      </c>
      <c r="BU13" s="824">
        <f t="shared" ref="BU13:BU19" si="22">SUM(BQ13:BT13)</f>
        <v>472</v>
      </c>
      <c r="BV13" s="810">
        <v>100.19999999999999</v>
      </c>
      <c r="BW13" s="810">
        <v>145.19999999999999</v>
      </c>
      <c r="BX13" s="810">
        <v>144.5</v>
      </c>
      <c r="BY13" s="810">
        <v>96.5</v>
      </c>
      <c r="BZ13" s="824">
        <f t="shared" ref="BZ13:BZ19" si="23">SUM(BV13:BY13)</f>
        <v>486.4</v>
      </c>
      <c r="CA13" s="810">
        <v>124.5</v>
      </c>
      <c r="CB13" s="810"/>
      <c r="CC13" s="810"/>
      <c r="CD13" s="810"/>
      <c r="CE13" s="824">
        <f t="shared" ref="CE13:CE19" si="24">SUM(CA13:CD13)</f>
        <v>124.5</v>
      </c>
      <c r="CF13" s="814"/>
      <c r="CG13" s="814"/>
      <c r="CH13" s="814"/>
      <c r="CI13" s="814"/>
      <c r="CJ13" s="814"/>
      <c r="CK13" s="814"/>
      <c r="CL13" s="814"/>
      <c r="CM13" s="814"/>
      <c r="CN13" s="814"/>
      <c r="CO13" s="814"/>
      <c r="CP13" s="814"/>
      <c r="CQ13" s="814"/>
      <c r="CR13" s="814"/>
      <c r="CS13" s="814"/>
      <c r="CT13" s="814"/>
      <c r="CU13" s="814"/>
      <c r="CV13" s="814"/>
      <c r="CW13" s="814"/>
      <c r="CX13" s="814"/>
      <c r="CY13" s="814"/>
      <c r="CZ13" s="814"/>
      <c r="DA13" s="814"/>
      <c r="DB13" s="814"/>
      <c r="DC13" s="814"/>
      <c r="DD13" s="814"/>
      <c r="DE13" s="814"/>
      <c r="DF13" s="814"/>
      <c r="DG13" s="814"/>
      <c r="DH13" s="814"/>
      <c r="DI13" s="814"/>
      <c r="DJ13" s="814"/>
      <c r="DK13" s="814"/>
      <c r="DL13" s="814"/>
      <c r="DM13" s="814"/>
      <c r="DN13" s="814"/>
      <c r="DO13" s="814"/>
      <c r="DP13" s="814"/>
      <c r="DQ13" s="814"/>
      <c r="DR13" s="814"/>
      <c r="DS13" s="814"/>
      <c r="DT13" s="814"/>
      <c r="DU13" s="814"/>
      <c r="DV13" s="814"/>
      <c r="DW13" s="814"/>
      <c r="DX13" s="814"/>
      <c r="DY13" s="814"/>
      <c r="DZ13" s="814"/>
      <c r="EA13" s="814"/>
      <c r="EB13" s="814"/>
      <c r="EC13" s="814"/>
      <c r="ED13" s="814"/>
      <c r="EE13" s="814"/>
      <c r="EF13" s="814"/>
      <c r="EG13" s="814"/>
      <c r="EH13" s="814"/>
      <c r="EI13" s="814"/>
      <c r="EJ13" s="814"/>
      <c r="EK13" s="814"/>
      <c r="EL13" s="814"/>
      <c r="EM13" s="814"/>
      <c r="EN13" s="814"/>
      <c r="EO13" s="814"/>
      <c r="EP13" s="814"/>
      <c r="EQ13" s="814"/>
      <c r="ER13" s="814"/>
      <c r="ES13" s="814"/>
      <c r="ET13" s="814"/>
      <c r="EU13" s="814"/>
      <c r="EV13" s="814"/>
      <c r="EW13" s="814"/>
      <c r="EX13" s="814"/>
      <c r="EY13" s="814"/>
      <c r="EZ13" s="814"/>
      <c r="FA13" s="814"/>
      <c r="FB13" s="814"/>
      <c r="FC13" s="814"/>
      <c r="FD13" s="814"/>
      <c r="FE13" s="814"/>
      <c r="FF13" s="814"/>
      <c r="FG13" s="814"/>
      <c r="FH13" s="814"/>
      <c r="FI13" s="814"/>
      <c r="FJ13" s="814"/>
      <c r="FK13" s="814"/>
      <c r="FL13" s="814"/>
      <c r="FM13" s="814"/>
      <c r="FN13" s="814"/>
      <c r="FO13" s="814"/>
      <c r="FP13" s="814"/>
      <c r="FQ13" s="814"/>
      <c r="FR13" s="814"/>
      <c r="FS13" s="814"/>
      <c r="FT13" s="814"/>
      <c r="FU13" s="814"/>
      <c r="FV13" s="814"/>
      <c r="FW13" s="814"/>
      <c r="FX13" s="814"/>
      <c r="FY13" s="814"/>
      <c r="FZ13" s="814"/>
      <c r="GA13" s="814"/>
      <c r="GB13" s="814"/>
      <c r="GC13" s="814"/>
      <c r="GD13" s="814"/>
      <c r="GE13" s="814"/>
      <c r="GF13" s="814"/>
      <c r="GG13" s="814"/>
      <c r="GH13" s="814"/>
      <c r="GI13" s="814"/>
      <c r="GJ13" s="814"/>
      <c r="GK13" s="814"/>
      <c r="GL13" s="814"/>
      <c r="GM13" s="814"/>
      <c r="GN13" s="814"/>
      <c r="GO13" s="814"/>
      <c r="GP13" s="814"/>
      <c r="GQ13" s="814"/>
      <c r="GR13" s="814"/>
      <c r="GS13" s="814"/>
      <c r="GT13" s="814"/>
      <c r="GU13" s="814"/>
      <c r="GV13" s="814"/>
      <c r="GW13" s="814"/>
      <c r="GX13" s="814"/>
      <c r="GY13" s="814"/>
      <c r="GZ13" s="814"/>
      <c r="HA13" s="814"/>
      <c r="HB13" s="814"/>
      <c r="HC13" s="814"/>
      <c r="HD13" s="814"/>
      <c r="HE13" s="814"/>
      <c r="HF13" s="814"/>
      <c r="HG13" s="814"/>
      <c r="HH13" s="814"/>
      <c r="HI13" s="814"/>
      <c r="HJ13" s="814"/>
      <c r="HK13" s="814"/>
      <c r="HL13" s="814"/>
      <c r="HM13" s="814"/>
      <c r="HN13" s="814"/>
      <c r="HO13" s="814"/>
      <c r="HP13" s="814"/>
      <c r="HQ13" s="814"/>
      <c r="HR13" s="814"/>
      <c r="HS13" s="814"/>
      <c r="HT13" s="814"/>
      <c r="HU13" s="814"/>
      <c r="HV13" s="814"/>
      <c r="HW13" s="814"/>
      <c r="HX13" s="814"/>
      <c r="HY13" s="814"/>
      <c r="HZ13" s="814"/>
      <c r="IA13" s="814"/>
      <c r="IB13" s="814"/>
      <c r="IC13" s="814"/>
      <c r="ID13" s="814"/>
      <c r="IE13" s="814"/>
      <c r="IF13" s="814"/>
      <c r="IG13" s="814"/>
      <c r="IH13" s="814"/>
      <c r="II13" s="814"/>
      <c r="IJ13" s="814"/>
      <c r="IK13" s="814"/>
      <c r="IL13" s="814"/>
      <c r="IM13" s="814"/>
      <c r="IN13" s="814"/>
      <c r="IO13" s="814"/>
      <c r="IP13" s="814"/>
      <c r="IQ13" s="814"/>
      <c r="IR13" s="814"/>
      <c r="IS13" s="814"/>
      <c r="IT13" s="814"/>
      <c r="IU13" s="814"/>
      <c r="IV13" s="814"/>
      <c r="IW13" s="814"/>
      <c r="IX13" s="814"/>
      <c r="IY13" s="814"/>
      <c r="IZ13" s="814"/>
      <c r="JA13" s="814"/>
      <c r="JB13" s="814"/>
      <c r="JC13" s="814"/>
      <c r="JD13" s="814"/>
      <c r="JE13" s="814"/>
      <c r="JF13" s="814"/>
      <c r="JG13" s="814"/>
      <c r="JH13" s="814"/>
      <c r="JI13" s="814"/>
      <c r="JJ13" s="814"/>
      <c r="JK13" s="814"/>
      <c r="JL13" s="814"/>
      <c r="JM13" s="814"/>
      <c r="JN13" s="814"/>
      <c r="JO13" s="814"/>
      <c r="JP13" s="814"/>
      <c r="JQ13" s="814"/>
      <c r="JR13" s="814"/>
      <c r="JS13" s="814"/>
      <c r="JT13" s="814"/>
      <c r="JU13" s="814"/>
      <c r="JV13" s="814"/>
      <c r="JW13" s="814"/>
      <c r="JX13" s="814"/>
      <c r="JY13" s="814"/>
      <c r="JZ13" s="814"/>
      <c r="KA13" s="814"/>
      <c r="KB13" s="814"/>
      <c r="KC13" s="814"/>
      <c r="KD13" s="814"/>
      <c r="KE13" s="814"/>
      <c r="KF13" s="814"/>
      <c r="KG13" s="814"/>
      <c r="KH13" s="814"/>
      <c r="KI13" s="814"/>
      <c r="KJ13" s="814"/>
      <c r="KK13" s="814"/>
      <c r="KL13" s="814"/>
      <c r="KM13" s="814"/>
      <c r="KN13" s="814"/>
      <c r="KO13" s="814"/>
      <c r="KP13" s="814"/>
      <c r="KQ13" s="814"/>
      <c r="KR13" s="814"/>
      <c r="KS13" s="814"/>
      <c r="KT13" s="814"/>
      <c r="KU13" s="814"/>
      <c r="KV13" s="814"/>
      <c r="KW13" s="814"/>
      <c r="KX13" s="814"/>
      <c r="KY13" s="814"/>
      <c r="KZ13" s="814"/>
      <c r="LA13" s="814"/>
      <c r="LB13" s="814"/>
      <c r="LC13" s="814"/>
      <c r="LD13" s="814"/>
      <c r="LE13" s="814"/>
      <c r="LF13" s="814"/>
      <c r="LG13" s="814"/>
      <c r="LH13" s="814"/>
      <c r="LI13" s="814"/>
      <c r="LJ13" s="814"/>
      <c r="LK13" s="814"/>
      <c r="LL13" s="814"/>
      <c r="LM13" s="814"/>
      <c r="LN13" s="814"/>
      <c r="LO13" s="814"/>
      <c r="LP13" s="814"/>
      <c r="LQ13" s="814"/>
      <c r="LR13" s="814"/>
      <c r="LS13" s="814"/>
      <c r="LT13" s="814"/>
      <c r="LU13" s="814"/>
      <c r="LV13" s="814"/>
      <c r="LW13" s="814"/>
      <c r="LX13" s="814"/>
      <c r="LY13" s="814"/>
      <c r="LZ13" s="814"/>
      <c r="MA13" s="814"/>
      <c r="MB13" s="814"/>
      <c r="MC13" s="814"/>
      <c r="MD13" s="814"/>
      <c r="ME13" s="814"/>
      <c r="MF13" s="814"/>
      <c r="MG13" s="814"/>
      <c r="MH13" s="814"/>
      <c r="MI13" s="814"/>
      <c r="MJ13" s="814"/>
      <c r="MK13" s="814"/>
      <c r="ML13" s="814"/>
      <c r="MM13" s="814"/>
      <c r="MN13" s="814"/>
      <c r="MO13" s="814"/>
      <c r="MP13" s="814"/>
      <c r="MQ13" s="814"/>
      <c r="MR13" s="814"/>
      <c r="MS13" s="814"/>
      <c r="MT13" s="814"/>
      <c r="MU13" s="814"/>
      <c r="MV13" s="814"/>
      <c r="MW13" s="814"/>
      <c r="MX13" s="814"/>
      <c r="MY13" s="814"/>
      <c r="MZ13" s="814"/>
      <c r="NA13" s="814"/>
      <c r="NB13" s="814"/>
      <c r="NC13" s="814"/>
      <c r="ND13" s="814"/>
      <c r="NE13" s="814"/>
      <c r="NF13" s="814"/>
      <c r="NG13" s="814"/>
      <c r="NH13" s="814"/>
      <c r="NI13" s="814"/>
      <c r="NJ13" s="814"/>
      <c r="NK13" s="814"/>
      <c r="NL13" s="814"/>
      <c r="NM13" s="814"/>
      <c r="NN13" s="814"/>
      <c r="NO13" s="814"/>
      <c r="NP13" s="814"/>
      <c r="NQ13" s="814"/>
      <c r="NR13" s="814"/>
      <c r="NS13" s="814"/>
      <c r="NT13" s="814"/>
      <c r="NU13" s="814"/>
      <c r="NV13" s="814"/>
      <c r="NW13" s="814"/>
      <c r="NX13" s="814"/>
      <c r="NY13" s="814"/>
      <c r="NZ13" s="814"/>
      <c r="OA13" s="814"/>
      <c r="OB13" s="814"/>
      <c r="OC13" s="814"/>
      <c r="OD13" s="814"/>
      <c r="OE13" s="814"/>
      <c r="OF13" s="814"/>
      <c r="OG13" s="814"/>
      <c r="OH13" s="814"/>
      <c r="OI13" s="814"/>
      <c r="OJ13" s="814"/>
      <c r="OK13" s="814"/>
      <c r="OL13" s="814"/>
      <c r="OM13" s="814"/>
      <c r="ON13" s="814"/>
      <c r="OO13" s="814"/>
      <c r="OP13" s="814"/>
      <c r="OQ13" s="814"/>
      <c r="OR13" s="814"/>
      <c r="OS13" s="814"/>
      <c r="OT13" s="814"/>
      <c r="OU13" s="814"/>
      <c r="OV13" s="814"/>
      <c r="OW13" s="814"/>
      <c r="OX13" s="814"/>
      <c r="OY13" s="814"/>
      <c r="OZ13" s="814"/>
      <c r="PA13" s="814"/>
      <c r="PB13" s="814"/>
      <c r="PC13" s="814"/>
      <c r="PD13" s="814"/>
      <c r="PE13" s="814"/>
      <c r="PF13" s="814"/>
      <c r="PG13" s="814"/>
      <c r="PH13" s="814"/>
      <c r="PI13" s="814"/>
      <c r="PJ13" s="814"/>
      <c r="PK13" s="814"/>
      <c r="PL13" s="814"/>
      <c r="PM13" s="814"/>
      <c r="PN13" s="814"/>
      <c r="PO13" s="814"/>
      <c r="PP13" s="814"/>
      <c r="PQ13" s="814"/>
      <c r="PR13" s="814"/>
      <c r="PS13" s="814"/>
      <c r="PT13" s="814"/>
      <c r="PU13" s="814"/>
      <c r="PV13" s="814"/>
      <c r="PW13" s="814"/>
      <c r="PX13" s="814"/>
      <c r="PY13" s="814"/>
      <c r="PZ13" s="814"/>
      <c r="QA13" s="814"/>
      <c r="QB13" s="814"/>
      <c r="QC13" s="814"/>
      <c r="QD13" s="814"/>
      <c r="QE13" s="814"/>
      <c r="QF13" s="814"/>
      <c r="QG13" s="814"/>
      <c r="QH13" s="814"/>
      <c r="QI13" s="814"/>
      <c r="QJ13" s="814"/>
      <c r="QK13" s="814"/>
      <c r="QL13" s="814"/>
      <c r="QM13" s="814"/>
      <c r="QN13" s="814"/>
      <c r="QO13" s="814"/>
      <c r="QP13" s="814"/>
      <c r="QQ13" s="814"/>
      <c r="QR13" s="814"/>
      <c r="QS13" s="814"/>
      <c r="QT13" s="814"/>
      <c r="QU13" s="814"/>
      <c r="QV13" s="814"/>
      <c r="QW13" s="814"/>
      <c r="QX13" s="814"/>
      <c r="QY13" s="814"/>
      <c r="QZ13" s="814"/>
      <c r="RA13" s="814"/>
      <c r="RB13" s="814"/>
      <c r="RC13" s="814"/>
      <c r="RD13" s="814"/>
      <c r="RE13" s="814"/>
      <c r="RF13" s="814"/>
      <c r="RG13" s="814"/>
      <c r="RH13" s="814"/>
      <c r="RI13" s="814"/>
      <c r="RJ13" s="814"/>
      <c r="RK13" s="814"/>
      <c r="RL13" s="814"/>
      <c r="RM13" s="814"/>
      <c r="RN13" s="814"/>
      <c r="RO13" s="814"/>
      <c r="RP13" s="814"/>
      <c r="RQ13" s="814"/>
      <c r="RR13" s="814"/>
      <c r="RS13" s="814"/>
      <c r="RT13" s="814"/>
      <c r="RU13" s="814"/>
      <c r="RV13" s="814"/>
      <c r="RW13" s="814"/>
      <c r="RX13" s="814"/>
    </row>
    <row r="14" spans="1:492" s="815" customFormat="1" ht="20.149999999999999" customHeight="1">
      <c r="A14" s="802" t="s">
        <v>468</v>
      </c>
      <c r="B14" s="803" t="s">
        <v>461</v>
      </c>
      <c r="C14" s="804"/>
      <c r="D14" s="804"/>
      <c r="E14" s="804"/>
      <c r="F14" s="804"/>
      <c r="G14" s="804"/>
      <c r="H14" s="804"/>
      <c r="I14" s="804"/>
      <c r="J14" s="804"/>
      <c r="K14" s="804"/>
      <c r="L14" s="804"/>
      <c r="M14" s="804"/>
      <c r="N14" s="804"/>
      <c r="O14" s="804"/>
      <c r="P14" s="804"/>
      <c r="Q14" s="804"/>
      <c r="R14" s="804"/>
      <c r="S14" s="804"/>
      <c r="T14" s="804"/>
      <c r="U14" s="804"/>
      <c r="V14" s="804"/>
      <c r="W14" s="804"/>
      <c r="X14" s="804"/>
      <c r="Y14" s="804"/>
      <c r="Z14" s="804"/>
      <c r="AA14" s="804"/>
      <c r="AB14" s="804"/>
      <c r="AC14" s="804"/>
      <c r="AD14" s="804"/>
      <c r="AE14" s="804"/>
      <c r="AF14" s="804"/>
      <c r="AG14" s="804"/>
      <c r="AH14" s="804"/>
      <c r="AI14" s="804"/>
      <c r="AJ14" s="804"/>
      <c r="AK14" s="804"/>
      <c r="AL14" s="804"/>
      <c r="AM14" s="805"/>
      <c r="AN14" s="806"/>
      <c r="AO14" s="806"/>
      <c r="AP14" s="806"/>
      <c r="AQ14" s="807"/>
      <c r="AR14" s="808"/>
      <c r="AS14" s="808"/>
      <c r="AT14" s="808"/>
      <c r="AU14" s="808"/>
      <c r="AV14" s="808"/>
      <c r="AW14" s="806"/>
      <c r="AX14" s="806"/>
      <c r="AY14" s="806"/>
      <c r="AZ14" s="806"/>
      <c r="BA14" s="806"/>
      <c r="BB14" s="809"/>
      <c r="BC14" s="810"/>
      <c r="BD14" s="810"/>
      <c r="BE14" s="810"/>
      <c r="BF14" s="811"/>
      <c r="BG14" s="810"/>
      <c r="BH14" s="810"/>
      <c r="BI14" s="810"/>
      <c r="BJ14" s="810"/>
      <c r="BK14" s="812"/>
      <c r="BL14" s="816">
        <v>0</v>
      </c>
      <c r="BM14" s="813">
        <v>3.7</v>
      </c>
      <c r="BN14" s="810">
        <f>14-BM14-BL14</f>
        <v>10.3</v>
      </c>
      <c r="BO14" s="810">
        <f>17.2-BN14-BM14</f>
        <v>3.1999999999999984</v>
      </c>
      <c r="BP14" s="812">
        <f t="shared" si="20"/>
        <v>17.2</v>
      </c>
      <c r="BQ14" s="810">
        <f t="shared" ref="BQ14:BR14" si="25">BQ23</f>
        <v>7</v>
      </c>
      <c r="BR14" s="810">
        <f t="shared" si="25"/>
        <v>6</v>
      </c>
      <c r="BS14" s="810">
        <v>8.6999999999999993</v>
      </c>
      <c r="BT14" s="810">
        <v>5.3</v>
      </c>
      <c r="BU14" s="824">
        <f t="shared" si="22"/>
        <v>27</v>
      </c>
      <c r="BV14" s="810">
        <v>9</v>
      </c>
      <c r="BW14" s="810">
        <v>2.0999999999999996</v>
      </c>
      <c r="BX14" s="810">
        <v>9.9</v>
      </c>
      <c r="BY14" s="810">
        <v>78.2</v>
      </c>
      <c r="BZ14" s="824">
        <f t="shared" si="23"/>
        <v>99.2</v>
      </c>
      <c r="CA14" s="810">
        <v>19.8</v>
      </c>
      <c r="CB14" s="810"/>
      <c r="CC14" s="810"/>
      <c r="CD14" s="810"/>
      <c r="CE14" s="824">
        <f t="shared" si="24"/>
        <v>19.8</v>
      </c>
      <c r="CF14" s="814"/>
      <c r="CG14" s="814"/>
      <c r="CH14" s="814"/>
      <c r="CI14" s="814"/>
      <c r="CJ14" s="814"/>
      <c r="CK14" s="814"/>
      <c r="CL14" s="814"/>
      <c r="CM14" s="814"/>
      <c r="CN14" s="814"/>
      <c r="CO14" s="814"/>
      <c r="CP14" s="814"/>
      <c r="CQ14" s="814"/>
      <c r="CR14" s="814"/>
      <c r="CS14" s="814"/>
      <c r="CT14" s="814"/>
      <c r="CU14" s="814"/>
      <c r="CV14" s="814"/>
      <c r="CW14" s="814"/>
      <c r="CX14" s="814"/>
      <c r="CY14" s="814"/>
      <c r="CZ14" s="814"/>
      <c r="DA14" s="814"/>
      <c r="DB14" s="814"/>
      <c r="DC14" s="814"/>
      <c r="DD14" s="814"/>
      <c r="DE14" s="814"/>
      <c r="DF14" s="814"/>
      <c r="DG14" s="814"/>
      <c r="DH14" s="814"/>
      <c r="DI14" s="814"/>
      <c r="DJ14" s="814"/>
      <c r="DK14" s="814"/>
      <c r="DL14" s="814"/>
      <c r="DM14" s="814"/>
      <c r="DN14" s="814"/>
      <c r="DO14" s="814"/>
      <c r="DP14" s="814"/>
      <c r="DQ14" s="814"/>
      <c r="DR14" s="814"/>
      <c r="DS14" s="814"/>
      <c r="DT14" s="814"/>
      <c r="DU14" s="814"/>
      <c r="DV14" s="814"/>
      <c r="DW14" s="814"/>
      <c r="DX14" s="814"/>
      <c r="DY14" s="814"/>
      <c r="DZ14" s="814"/>
      <c r="EA14" s="814"/>
      <c r="EB14" s="814"/>
      <c r="EC14" s="814"/>
      <c r="ED14" s="814"/>
      <c r="EE14" s="814"/>
      <c r="EF14" s="814"/>
      <c r="EG14" s="814"/>
      <c r="EH14" s="814"/>
      <c r="EI14" s="814"/>
      <c r="EJ14" s="814"/>
      <c r="EK14" s="814"/>
      <c r="EL14" s="814"/>
      <c r="EM14" s="814"/>
      <c r="EN14" s="814"/>
      <c r="EO14" s="814"/>
      <c r="EP14" s="814"/>
      <c r="EQ14" s="814"/>
      <c r="ER14" s="814"/>
      <c r="ES14" s="814"/>
      <c r="ET14" s="814"/>
      <c r="EU14" s="814"/>
      <c r="EV14" s="814"/>
      <c r="EW14" s="814"/>
      <c r="EX14" s="814"/>
      <c r="EY14" s="814"/>
      <c r="EZ14" s="814"/>
      <c r="FA14" s="814"/>
      <c r="FB14" s="814"/>
      <c r="FC14" s="814"/>
      <c r="FD14" s="814"/>
      <c r="FE14" s="814"/>
      <c r="FF14" s="814"/>
      <c r="FG14" s="814"/>
      <c r="FH14" s="814"/>
      <c r="FI14" s="814"/>
      <c r="FJ14" s="814"/>
      <c r="FK14" s="814"/>
      <c r="FL14" s="814"/>
      <c r="FM14" s="814"/>
      <c r="FN14" s="814"/>
      <c r="FO14" s="814"/>
      <c r="FP14" s="814"/>
      <c r="FQ14" s="814"/>
      <c r="FR14" s="814"/>
      <c r="FS14" s="814"/>
      <c r="FT14" s="814"/>
      <c r="FU14" s="814"/>
      <c r="FV14" s="814"/>
      <c r="FW14" s="814"/>
      <c r="FX14" s="814"/>
      <c r="FY14" s="814"/>
      <c r="FZ14" s="814"/>
      <c r="GA14" s="814"/>
      <c r="GB14" s="814"/>
      <c r="GC14" s="814"/>
      <c r="GD14" s="814"/>
      <c r="GE14" s="814"/>
      <c r="GF14" s="814"/>
      <c r="GG14" s="814"/>
      <c r="GH14" s="814"/>
      <c r="GI14" s="814"/>
      <c r="GJ14" s="814"/>
      <c r="GK14" s="814"/>
      <c r="GL14" s="814"/>
      <c r="GM14" s="814"/>
      <c r="GN14" s="814"/>
      <c r="GO14" s="814"/>
      <c r="GP14" s="814"/>
      <c r="GQ14" s="814"/>
      <c r="GR14" s="814"/>
      <c r="GS14" s="814"/>
      <c r="GT14" s="814"/>
      <c r="GU14" s="814"/>
      <c r="GV14" s="814"/>
      <c r="GW14" s="814"/>
      <c r="GX14" s="814"/>
      <c r="GY14" s="814"/>
      <c r="GZ14" s="814"/>
      <c r="HA14" s="814"/>
      <c r="HB14" s="814"/>
      <c r="HC14" s="814"/>
      <c r="HD14" s="814"/>
      <c r="HE14" s="814"/>
      <c r="HF14" s="814"/>
      <c r="HG14" s="814"/>
      <c r="HH14" s="814"/>
      <c r="HI14" s="814"/>
      <c r="HJ14" s="814"/>
      <c r="HK14" s="814"/>
      <c r="HL14" s="814"/>
      <c r="HM14" s="814"/>
      <c r="HN14" s="814"/>
      <c r="HO14" s="814"/>
      <c r="HP14" s="814"/>
      <c r="HQ14" s="814"/>
      <c r="HR14" s="814"/>
      <c r="HS14" s="814"/>
      <c r="HT14" s="814"/>
      <c r="HU14" s="814"/>
      <c r="HV14" s="814"/>
      <c r="HW14" s="814"/>
      <c r="HX14" s="814"/>
      <c r="HY14" s="814"/>
      <c r="HZ14" s="814"/>
      <c r="IA14" s="814"/>
      <c r="IB14" s="814"/>
      <c r="IC14" s="814"/>
      <c r="ID14" s="814"/>
      <c r="IE14" s="814"/>
      <c r="IF14" s="814"/>
      <c r="IG14" s="814"/>
      <c r="IH14" s="814"/>
      <c r="II14" s="814"/>
      <c r="IJ14" s="814"/>
      <c r="IK14" s="814"/>
      <c r="IL14" s="814"/>
      <c r="IM14" s="814"/>
      <c r="IN14" s="814"/>
      <c r="IO14" s="814"/>
      <c r="IP14" s="814"/>
      <c r="IQ14" s="814"/>
      <c r="IR14" s="814"/>
      <c r="IS14" s="814"/>
      <c r="IT14" s="814"/>
      <c r="IU14" s="814"/>
      <c r="IV14" s="814"/>
      <c r="IW14" s="814"/>
      <c r="IX14" s="814"/>
      <c r="IY14" s="814"/>
      <c r="IZ14" s="814"/>
      <c r="JA14" s="814"/>
      <c r="JB14" s="814"/>
      <c r="JC14" s="814"/>
      <c r="JD14" s="814"/>
      <c r="JE14" s="814"/>
      <c r="JF14" s="814"/>
      <c r="JG14" s="814"/>
      <c r="JH14" s="814"/>
      <c r="JI14" s="814"/>
      <c r="JJ14" s="814"/>
      <c r="JK14" s="814"/>
      <c r="JL14" s="814"/>
      <c r="JM14" s="814"/>
      <c r="JN14" s="814"/>
      <c r="JO14" s="814"/>
      <c r="JP14" s="814"/>
      <c r="JQ14" s="814"/>
      <c r="JR14" s="814"/>
      <c r="JS14" s="814"/>
      <c r="JT14" s="814"/>
      <c r="JU14" s="814"/>
      <c r="JV14" s="814"/>
      <c r="JW14" s="814"/>
      <c r="JX14" s="814"/>
      <c r="JY14" s="814"/>
      <c r="JZ14" s="814"/>
      <c r="KA14" s="814"/>
      <c r="KB14" s="814"/>
      <c r="KC14" s="814"/>
      <c r="KD14" s="814"/>
      <c r="KE14" s="814"/>
      <c r="KF14" s="814"/>
      <c r="KG14" s="814"/>
      <c r="KH14" s="814"/>
      <c r="KI14" s="814"/>
      <c r="KJ14" s="814"/>
      <c r="KK14" s="814"/>
      <c r="KL14" s="814"/>
      <c r="KM14" s="814"/>
      <c r="KN14" s="814"/>
      <c r="KO14" s="814"/>
      <c r="KP14" s="814"/>
      <c r="KQ14" s="814"/>
      <c r="KR14" s="814"/>
      <c r="KS14" s="814"/>
      <c r="KT14" s="814"/>
      <c r="KU14" s="814"/>
      <c r="KV14" s="814"/>
      <c r="KW14" s="814"/>
      <c r="KX14" s="814"/>
      <c r="KY14" s="814"/>
      <c r="KZ14" s="814"/>
      <c r="LA14" s="814"/>
      <c r="LB14" s="814"/>
      <c r="LC14" s="814"/>
      <c r="LD14" s="814"/>
      <c r="LE14" s="814"/>
      <c r="LF14" s="814"/>
      <c r="LG14" s="814"/>
      <c r="LH14" s="814"/>
      <c r="LI14" s="814"/>
      <c r="LJ14" s="814"/>
      <c r="LK14" s="814"/>
      <c r="LL14" s="814"/>
      <c r="LM14" s="814"/>
      <c r="LN14" s="814"/>
      <c r="LO14" s="814"/>
      <c r="LP14" s="814"/>
      <c r="LQ14" s="814"/>
      <c r="LR14" s="814"/>
      <c r="LS14" s="814"/>
      <c r="LT14" s="814"/>
      <c r="LU14" s="814"/>
      <c r="LV14" s="814"/>
      <c r="LW14" s="814"/>
      <c r="LX14" s="814"/>
      <c r="LY14" s="814"/>
      <c r="LZ14" s="814"/>
      <c r="MA14" s="814"/>
      <c r="MB14" s="814"/>
      <c r="MC14" s="814"/>
      <c r="MD14" s="814"/>
      <c r="ME14" s="814"/>
      <c r="MF14" s="814"/>
      <c r="MG14" s="814"/>
      <c r="MH14" s="814"/>
      <c r="MI14" s="814"/>
      <c r="MJ14" s="814"/>
      <c r="MK14" s="814"/>
      <c r="ML14" s="814"/>
      <c r="MM14" s="814"/>
      <c r="MN14" s="814"/>
      <c r="MO14" s="814"/>
      <c r="MP14" s="814"/>
      <c r="MQ14" s="814"/>
      <c r="MR14" s="814"/>
      <c r="MS14" s="814"/>
      <c r="MT14" s="814"/>
      <c r="MU14" s="814"/>
      <c r="MV14" s="814"/>
      <c r="MW14" s="814"/>
      <c r="MX14" s="814"/>
      <c r="MY14" s="814"/>
      <c r="MZ14" s="814"/>
      <c r="NA14" s="814"/>
      <c r="NB14" s="814"/>
      <c r="NC14" s="814"/>
      <c r="ND14" s="814"/>
      <c r="NE14" s="814"/>
      <c r="NF14" s="814"/>
      <c r="NG14" s="814"/>
      <c r="NH14" s="814"/>
      <c r="NI14" s="814"/>
      <c r="NJ14" s="814"/>
      <c r="NK14" s="814"/>
      <c r="NL14" s="814"/>
      <c r="NM14" s="814"/>
      <c r="NN14" s="814"/>
      <c r="NO14" s="814"/>
      <c r="NP14" s="814"/>
      <c r="NQ14" s="814"/>
      <c r="NR14" s="814"/>
      <c r="NS14" s="814"/>
      <c r="NT14" s="814"/>
      <c r="NU14" s="814"/>
      <c r="NV14" s="814"/>
      <c r="NW14" s="814"/>
      <c r="NX14" s="814"/>
      <c r="NY14" s="814"/>
      <c r="NZ14" s="814"/>
      <c r="OA14" s="814"/>
      <c r="OB14" s="814"/>
      <c r="OC14" s="814"/>
      <c r="OD14" s="814"/>
      <c r="OE14" s="814"/>
      <c r="OF14" s="814"/>
      <c r="OG14" s="814"/>
      <c r="OH14" s="814"/>
      <c r="OI14" s="814"/>
      <c r="OJ14" s="814"/>
      <c r="OK14" s="814"/>
      <c r="OL14" s="814"/>
      <c r="OM14" s="814"/>
      <c r="ON14" s="814"/>
      <c r="OO14" s="814"/>
      <c r="OP14" s="814"/>
      <c r="OQ14" s="814"/>
      <c r="OR14" s="814"/>
      <c r="OS14" s="814"/>
      <c r="OT14" s="814"/>
      <c r="OU14" s="814"/>
      <c r="OV14" s="814"/>
      <c r="OW14" s="814"/>
      <c r="OX14" s="814"/>
      <c r="OY14" s="814"/>
      <c r="OZ14" s="814"/>
      <c r="PA14" s="814"/>
      <c r="PB14" s="814"/>
      <c r="PC14" s="814"/>
      <c r="PD14" s="814"/>
      <c r="PE14" s="814"/>
      <c r="PF14" s="814"/>
      <c r="PG14" s="814"/>
      <c r="PH14" s="814"/>
      <c r="PI14" s="814"/>
      <c r="PJ14" s="814"/>
      <c r="PK14" s="814"/>
      <c r="PL14" s="814"/>
      <c r="PM14" s="814"/>
      <c r="PN14" s="814"/>
      <c r="PO14" s="814"/>
      <c r="PP14" s="814"/>
      <c r="PQ14" s="814"/>
      <c r="PR14" s="814"/>
      <c r="PS14" s="814"/>
      <c r="PT14" s="814"/>
      <c r="PU14" s="814"/>
      <c r="PV14" s="814"/>
      <c r="PW14" s="814"/>
      <c r="PX14" s="814"/>
      <c r="PY14" s="814"/>
      <c r="PZ14" s="814"/>
      <c r="QA14" s="814"/>
      <c r="QB14" s="814"/>
      <c r="QC14" s="814"/>
      <c r="QD14" s="814"/>
      <c r="QE14" s="814"/>
      <c r="QF14" s="814"/>
      <c r="QG14" s="814"/>
      <c r="QH14" s="814"/>
      <c r="QI14" s="814"/>
      <c r="QJ14" s="814"/>
      <c r="QK14" s="814"/>
      <c r="QL14" s="814"/>
      <c r="QM14" s="814"/>
      <c r="QN14" s="814"/>
      <c r="QO14" s="814"/>
      <c r="QP14" s="814"/>
      <c r="QQ14" s="814"/>
      <c r="QR14" s="814"/>
      <c r="QS14" s="814"/>
      <c r="QT14" s="814"/>
      <c r="QU14" s="814"/>
      <c r="QV14" s="814"/>
      <c r="QW14" s="814"/>
      <c r="QX14" s="814"/>
      <c r="QY14" s="814"/>
      <c r="QZ14" s="814"/>
      <c r="RA14" s="814"/>
      <c r="RB14" s="814"/>
      <c r="RC14" s="814"/>
      <c r="RD14" s="814"/>
      <c r="RE14" s="814"/>
      <c r="RF14" s="814"/>
      <c r="RG14" s="814"/>
      <c r="RH14" s="814"/>
      <c r="RI14" s="814"/>
      <c r="RJ14" s="814"/>
      <c r="RK14" s="814"/>
      <c r="RL14" s="814"/>
      <c r="RM14" s="814"/>
      <c r="RN14" s="814"/>
      <c r="RO14" s="814"/>
      <c r="RP14" s="814"/>
      <c r="RQ14" s="814"/>
      <c r="RR14" s="814"/>
      <c r="RS14" s="814"/>
      <c r="RT14" s="814"/>
      <c r="RU14" s="814"/>
      <c r="RV14" s="814"/>
      <c r="RW14" s="814"/>
      <c r="RX14" s="814"/>
    </row>
    <row r="15" spans="1:492" s="815" customFormat="1" ht="20.149999999999999" customHeight="1">
      <c r="A15" s="802" t="s">
        <v>462</v>
      </c>
      <c r="B15" s="803" t="s">
        <v>463</v>
      </c>
      <c r="C15" s="804"/>
      <c r="D15" s="804"/>
      <c r="E15" s="804"/>
      <c r="F15" s="804"/>
      <c r="G15" s="804"/>
      <c r="H15" s="804"/>
      <c r="I15" s="804"/>
      <c r="J15" s="804"/>
      <c r="K15" s="804"/>
      <c r="L15" s="804"/>
      <c r="M15" s="804"/>
      <c r="N15" s="804"/>
      <c r="O15" s="804"/>
      <c r="P15" s="804"/>
      <c r="Q15" s="804"/>
      <c r="R15" s="804"/>
      <c r="S15" s="804"/>
      <c r="T15" s="804"/>
      <c r="U15" s="804"/>
      <c r="V15" s="804"/>
      <c r="W15" s="804"/>
      <c r="X15" s="804"/>
      <c r="Y15" s="804"/>
      <c r="Z15" s="804"/>
      <c r="AA15" s="804"/>
      <c r="AB15" s="804"/>
      <c r="AC15" s="804"/>
      <c r="AD15" s="804"/>
      <c r="AE15" s="804"/>
      <c r="AF15" s="804"/>
      <c r="AG15" s="804"/>
      <c r="AH15" s="804"/>
      <c r="AI15" s="804"/>
      <c r="AJ15" s="804"/>
      <c r="AK15" s="804"/>
      <c r="AL15" s="804"/>
      <c r="AM15" s="805"/>
      <c r="AN15" s="806"/>
      <c r="AO15" s="806"/>
      <c r="AP15" s="806"/>
      <c r="AQ15" s="807"/>
      <c r="AR15" s="808"/>
      <c r="AS15" s="808"/>
      <c r="AT15" s="808"/>
      <c r="AU15" s="808"/>
      <c r="AV15" s="808"/>
      <c r="AW15" s="806"/>
      <c r="AX15" s="806"/>
      <c r="AY15" s="806"/>
      <c r="AZ15" s="806"/>
      <c r="BA15" s="806"/>
      <c r="BB15" s="809"/>
      <c r="BC15" s="810"/>
      <c r="BD15" s="810"/>
      <c r="BE15" s="810"/>
      <c r="BF15" s="811"/>
      <c r="BG15" s="810"/>
      <c r="BH15" s="810"/>
      <c r="BI15" s="810"/>
      <c r="BJ15" s="810"/>
      <c r="BK15" s="812"/>
      <c r="BL15" s="816"/>
      <c r="BM15" s="813"/>
      <c r="BN15" s="810"/>
      <c r="BO15" s="810"/>
      <c r="BP15" s="812"/>
      <c r="BQ15" s="810">
        <f t="shared" ref="BQ15:BR15" si="26">BQ24</f>
        <v>0</v>
      </c>
      <c r="BR15" s="810">
        <f t="shared" si="26"/>
        <v>0</v>
      </c>
      <c r="BS15" s="810">
        <v>25.9</v>
      </c>
      <c r="BT15" s="817">
        <v>-1.4</v>
      </c>
      <c r="BU15" s="824">
        <f t="shared" si="22"/>
        <v>24.5</v>
      </c>
      <c r="BV15" s="810">
        <v>49.3</v>
      </c>
      <c r="BW15" s="810">
        <v>71.399999999999991</v>
      </c>
      <c r="BX15" s="810">
        <v>82.200000000000017</v>
      </c>
      <c r="BY15" s="810">
        <v>79.099999999999994</v>
      </c>
      <c r="BZ15" s="824">
        <f t="shared" si="23"/>
        <v>282</v>
      </c>
      <c r="CA15" s="810">
        <v>57.1</v>
      </c>
      <c r="CB15" s="810"/>
      <c r="CC15" s="810"/>
      <c r="CD15" s="810"/>
      <c r="CE15" s="824">
        <f t="shared" si="24"/>
        <v>57.1</v>
      </c>
      <c r="CF15" s="814"/>
      <c r="CG15" s="814"/>
      <c r="CH15" s="814"/>
      <c r="CI15" s="814"/>
      <c r="CJ15" s="814"/>
      <c r="CK15" s="814"/>
      <c r="CL15" s="814"/>
      <c r="CM15" s="814"/>
      <c r="CN15" s="814"/>
      <c r="CO15" s="814"/>
      <c r="CP15" s="814"/>
      <c r="CQ15" s="814"/>
      <c r="CR15" s="814"/>
      <c r="CS15" s="814"/>
      <c r="CT15" s="814"/>
      <c r="CU15" s="814"/>
      <c r="CV15" s="814"/>
      <c r="CW15" s="814"/>
      <c r="CX15" s="814"/>
      <c r="CY15" s="814"/>
      <c r="CZ15" s="814"/>
      <c r="DA15" s="814"/>
      <c r="DB15" s="814"/>
      <c r="DC15" s="814"/>
      <c r="DD15" s="814"/>
      <c r="DE15" s="814"/>
      <c r="DF15" s="814"/>
      <c r="DG15" s="814"/>
      <c r="DH15" s="814"/>
      <c r="DI15" s="814"/>
      <c r="DJ15" s="814"/>
      <c r="DK15" s="814"/>
      <c r="DL15" s="814"/>
      <c r="DM15" s="814"/>
      <c r="DN15" s="814"/>
      <c r="DO15" s="814"/>
      <c r="DP15" s="814"/>
      <c r="DQ15" s="814"/>
      <c r="DR15" s="814"/>
      <c r="DS15" s="814"/>
      <c r="DT15" s="814"/>
      <c r="DU15" s="814"/>
      <c r="DV15" s="814"/>
      <c r="DW15" s="814"/>
      <c r="DX15" s="814"/>
      <c r="DY15" s="814"/>
      <c r="DZ15" s="814"/>
      <c r="EA15" s="814"/>
      <c r="EB15" s="814"/>
      <c r="EC15" s="814"/>
      <c r="ED15" s="814"/>
      <c r="EE15" s="814"/>
      <c r="EF15" s="814"/>
      <c r="EG15" s="814"/>
      <c r="EH15" s="814"/>
      <c r="EI15" s="814"/>
      <c r="EJ15" s="814"/>
      <c r="EK15" s="814"/>
      <c r="EL15" s="814"/>
      <c r="EM15" s="814"/>
      <c r="EN15" s="814"/>
      <c r="EO15" s="814"/>
      <c r="EP15" s="814"/>
      <c r="EQ15" s="814"/>
      <c r="ER15" s="814"/>
      <c r="ES15" s="814"/>
      <c r="ET15" s="814"/>
      <c r="EU15" s="814"/>
      <c r="EV15" s="814"/>
      <c r="EW15" s="814"/>
      <c r="EX15" s="814"/>
      <c r="EY15" s="814"/>
      <c r="EZ15" s="814"/>
      <c r="FA15" s="814"/>
      <c r="FB15" s="814"/>
      <c r="FC15" s="814"/>
      <c r="FD15" s="814"/>
      <c r="FE15" s="814"/>
      <c r="FF15" s="814"/>
      <c r="FG15" s="814"/>
      <c r="FH15" s="814"/>
      <c r="FI15" s="814"/>
      <c r="FJ15" s="814"/>
      <c r="FK15" s="814"/>
      <c r="FL15" s="814"/>
      <c r="FM15" s="814"/>
      <c r="FN15" s="814"/>
      <c r="FO15" s="814"/>
      <c r="FP15" s="814"/>
      <c r="FQ15" s="814"/>
      <c r="FR15" s="814"/>
      <c r="FS15" s="814"/>
      <c r="FT15" s="814"/>
      <c r="FU15" s="814"/>
      <c r="FV15" s="814"/>
      <c r="FW15" s="814"/>
      <c r="FX15" s="814"/>
      <c r="FY15" s="814"/>
      <c r="FZ15" s="814"/>
      <c r="GA15" s="814"/>
      <c r="GB15" s="814"/>
      <c r="GC15" s="814"/>
      <c r="GD15" s="814"/>
      <c r="GE15" s="814"/>
      <c r="GF15" s="814"/>
      <c r="GG15" s="814"/>
      <c r="GH15" s="814"/>
      <c r="GI15" s="814"/>
      <c r="GJ15" s="814"/>
      <c r="GK15" s="814"/>
      <c r="GL15" s="814"/>
      <c r="GM15" s="814"/>
      <c r="GN15" s="814"/>
      <c r="GO15" s="814"/>
      <c r="GP15" s="814"/>
      <c r="GQ15" s="814"/>
      <c r="GR15" s="814"/>
      <c r="GS15" s="814"/>
      <c r="GT15" s="814"/>
      <c r="GU15" s="814"/>
      <c r="GV15" s="814"/>
      <c r="GW15" s="814"/>
      <c r="GX15" s="814"/>
      <c r="GY15" s="814"/>
      <c r="GZ15" s="814"/>
      <c r="HA15" s="814"/>
      <c r="HB15" s="814"/>
      <c r="HC15" s="814"/>
      <c r="HD15" s="814"/>
      <c r="HE15" s="814"/>
      <c r="HF15" s="814"/>
      <c r="HG15" s="814"/>
      <c r="HH15" s="814"/>
      <c r="HI15" s="814"/>
      <c r="HJ15" s="814"/>
      <c r="HK15" s="814"/>
      <c r="HL15" s="814"/>
      <c r="HM15" s="814"/>
      <c r="HN15" s="814"/>
      <c r="HO15" s="814"/>
      <c r="HP15" s="814"/>
      <c r="HQ15" s="814"/>
      <c r="HR15" s="814"/>
      <c r="HS15" s="814"/>
      <c r="HT15" s="814"/>
      <c r="HU15" s="814"/>
      <c r="HV15" s="814"/>
      <c r="HW15" s="814"/>
      <c r="HX15" s="814"/>
      <c r="HY15" s="814"/>
      <c r="HZ15" s="814"/>
      <c r="IA15" s="814"/>
      <c r="IB15" s="814"/>
      <c r="IC15" s="814"/>
      <c r="ID15" s="814"/>
      <c r="IE15" s="814"/>
      <c r="IF15" s="814"/>
      <c r="IG15" s="814"/>
      <c r="IH15" s="814"/>
      <c r="II15" s="814"/>
      <c r="IJ15" s="814"/>
      <c r="IK15" s="814"/>
      <c r="IL15" s="814"/>
      <c r="IM15" s="814"/>
      <c r="IN15" s="814"/>
      <c r="IO15" s="814"/>
      <c r="IP15" s="814"/>
      <c r="IQ15" s="814"/>
      <c r="IR15" s="814"/>
      <c r="IS15" s="814"/>
      <c r="IT15" s="814"/>
      <c r="IU15" s="814"/>
      <c r="IV15" s="814"/>
      <c r="IW15" s="814"/>
      <c r="IX15" s="814"/>
      <c r="IY15" s="814"/>
      <c r="IZ15" s="814"/>
      <c r="JA15" s="814"/>
      <c r="JB15" s="814"/>
      <c r="JC15" s="814"/>
      <c r="JD15" s="814"/>
      <c r="JE15" s="814"/>
      <c r="JF15" s="814"/>
      <c r="JG15" s="814"/>
      <c r="JH15" s="814"/>
      <c r="JI15" s="814"/>
      <c r="JJ15" s="814"/>
      <c r="JK15" s="814"/>
      <c r="JL15" s="814"/>
      <c r="JM15" s="814"/>
      <c r="JN15" s="814"/>
      <c r="JO15" s="814"/>
      <c r="JP15" s="814"/>
      <c r="JQ15" s="814"/>
      <c r="JR15" s="814"/>
      <c r="JS15" s="814"/>
      <c r="JT15" s="814"/>
      <c r="JU15" s="814"/>
      <c r="JV15" s="814"/>
      <c r="JW15" s="814"/>
      <c r="JX15" s="814"/>
      <c r="JY15" s="814"/>
      <c r="JZ15" s="814"/>
      <c r="KA15" s="814"/>
      <c r="KB15" s="814"/>
      <c r="KC15" s="814"/>
      <c r="KD15" s="814"/>
      <c r="KE15" s="814"/>
      <c r="KF15" s="814"/>
      <c r="KG15" s="814"/>
      <c r="KH15" s="814"/>
      <c r="KI15" s="814"/>
      <c r="KJ15" s="814"/>
      <c r="KK15" s="814"/>
      <c r="KL15" s="814"/>
      <c r="KM15" s="814"/>
      <c r="KN15" s="814"/>
      <c r="KO15" s="814"/>
      <c r="KP15" s="814"/>
      <c r="KQ15" s="814"/>
      <c r="KR15" s="814"/>
      <c r="KS15" s="814"/>
      <c r="KT15" s="814"/>
      <c r="KU15" s="814"/>
      <c r="KV15" s="814"/>
      <c r="KW15" s="814"/>
      <c r="KX15" s="814"/>
      <c r="KY15" s="814"/>
      <c r="KZ15" s="814"/>
      <c r="LA15" s="814"/>
      <c r="LB15" s="814"/>
      <c r="LC15" s="814"/>
      <c r="LD15" s="814"/>
      <c r="LE15" s="814"/>
      <c r="LF15" s="814"/>
      <c r="LG15" s="814"/>
      <c r="LH15" s="814"/>
      <c r="LI15" s="814"/>
      <c r="LJ15" s="814"/>
      <c r="LK15" s="814"/>
      <c r="LL15" s="814"/>
      <c r="LM15" s="814"/>
      <c r="LN15" s="814"/>
      <c r="LO15" s="814"/>
      <c r="LP15" s="814"/>
      <c r="LQ15" s="814"/>
      <c r="LR15" s="814"/>
      <c r="LS15" s="814"/>
      <c r="LT15" s="814"/>
      <c r="LU15" s="814"/>
      <c r="LV15" s="814"/>
      <c r="LW15" s="814"/>
      <c r="LX15" s="814"/>
      <c r="LY15" s="814"/>
      <c r="LZ15" s="814"/>
      <c r="MA15" s="814"/>
      <c r="MB15" s="814"/>
      <c r="MC15" s="814"/>
      <c r="MD15" s="814"/>
      <c r="ME15" s="814"/>
      <c r="MF15" s="814"/>
      <c r="MG15" s="814"/>
      <c r="MH15" s="814"/>
      <c r="MI15" s="814"/>
      <c r="MJ15" s="814"/>
      <c r="MK15" s="814"/>
      <c r="ML15" s="814"/>
      <c r="MM15" s="814"/>
      <c r="MN15" s="814"/>
      <c r="MO15" s="814"/>
      <c r="MP15" s="814"/>
      <c r="MQ15" s="814"/>
      <c r="MR15" s="814"/>
      <c r="MS15" s="814"/>
      <c r="MT15" s="814"/>
      <c r="MU15" s="814"/>
      <c r="MV15" s="814"/>
      <c r="MW15" s="814"/>
      <c r="MX15" s="814"/>
      <c r="MY15" s="814"/>
      <c r="MZ15" s="814"/>
      <c r="NA15" s="814"/>
      <c r="NB15" s="814"/>
      <c r="NC15" s="814"/>
      <c r="ND15" s="814"/>
      <c r="NE15" s="814"/>
      <c r="NF15" s="814"/>
      <c r="NG15" s="814"/>
      <c r="NH15" s="814"/>
      <c r="NI15" s="814"/>
      <c r="NJ15" s="814"/>
      <c r="NK15" s="814"/>
      <c r="NL15" s="814"/>
      <c r="NM15" s="814"/>
      <c r="NN15" s="814"/>
      <c r="NO15" s="814"/>
      <c r="NP15" s="814"/>
      <c r="NQ15" s="814"/>
      <c r="NR15" s="814"/>
      <c r="NS15" s="814"/>
      <c r="NT15" s="814"/>
      <c r="NU15" s="814"/>
      <c r="NV15" s="814"/>
      <c r="NW15" s="814"/>
      <c r="NX15" s="814"/>
      <c r="NY15" s="814"/>
      <c r="NZ15" s="814"/>
      <c r="OA15" s="814"/>
      <c r="OB15" s="814"/>
      <c r="OC15" s="814"/>
      <c r="OD15" s="814"/>
      <c r="OE15" s="814"/>
      <c r="OF15" s="814"/>
      <c r="OG15" s="814"/>
      <c r="OH15" s="814"/>
      <c r="OI15" s="814"/>
      <c r="OJ15" s="814"/>
      <c r="OK15" s="814"/>
      <c r="OL15" s="814"/>
      <c r="OM15" s="814"/>
      <c r="ON15" s="814"/>
      <c r="OO15" s="814"/>
      <c r="OP15" s="814"/>
      <c r="OQ15" s="814"/>
      <c r="OR15" s="814"/>
      <c r="OS15" s="814"/>
      <c r="OT15" s="814"/>
      <c r="OU15" s="814"/>
      <c r="OV15" s="814"/>
      <c r="OW15" s="814"/>
      <c r="OX15" s="814"/>
      <c r="OY15" s="814"/>
      <c r="OZ15" s="814"/>
      <c r="PA15" s="814"/>
      <c r="PB15" s="814"/>
      <c r="PC15" s="814"/>
      <c r="PD15" s="814"/>
      <c r="PE15" s="814"/>
      <c r="PF15" s="814"/>
      <c r="PG15" s="814"/>
      <c r="PH15" s="814"/>
      <c r="PI15" s="814"/>
      <c r="PJ15" s="814"/>
      <c r="PK15" s="814"/>
      <c r="PL15" s="814"/>
      <c r="PM15" s="814"/>
      <c r="PN15" s="814"/>
      <c r="PO15" s="814"/>
      <c r="PP15" s="814"/>
      <c r="PQ15" s="814"/>
      <c r="PR15" s="814"/>
      <c r="PS15" s="814"/>
      <c r="PT15" s="814"/>
      <c r="PU15" s="814"/>
      <c r="PV15" s="814"/>
      <c r="PW15" s="814"/>
      <c r="PX15" s="814"/>
      <c r="PY15" s="814"/>
      <c r="PZ15" s="814"/>
      <c r="QA15" s="814"/>
      <c r="QB15" s="814"/>
      <c r="QC15" s="814"/>
      <c r="QD15" s="814"/>
      <c r="QE15" s="814"/>
      <c r="QF15" s="814"/>
      <c r="QG15" s="814"/>
      <c r="QH15" s="814"/>
      <c r="QI15" s="814"/>
      <c r="QJ15" s="814"/>
      <c r="QK15" s="814"/>
      <c r="QL15" s="814"/>
      <c r="QM15" s="814"/>
      <c r="QN15" s="814"/>
      <c r="QO15" s="814"/>
      <c r="QP15" s="814"/>
      <c r="QQ15" s="814"/>
      <c r="QR15" s="814"/>
      <c r="QS15" s="814"/>
      <c r="QT15" s="814"/>
      <c r="QU15" s="814"/>
      <c r="QV15" s="814"/>
      <c r="QW15" s="814"/>
      <c r="QX15" s="814"/>
      <c r="QY15" s="814"/>
      <c r="QZ15" s="814"/>
      <c r="RA15" s="814"/>
      <c r="RB15" s="814"/>
      <c r="RC15" s="814"/>
      <c r="RD15" s="814"/>
      <c r="RE15" s="814"/>
      <c r="RF15" s="814"/>
      <c r="RG15" s="814"/>
      <c r="RH15" s="814"/>
      <c r="RI15" s="814"/>
      <c r="RJ15" s="814"/>
      <c r="RK15" s="814"/>
      <c r="RL15" s="814"/>
      <c r="RM15" s="814"/>
      <c r="RN15" s="814"/>
      <c r="RO15" s="814"/>
      <c r="RP15" s="814"/>
      <c r="RQ15" s="814"/>
      <c r="RR15" s="814"/>
      <c r="RS15" s="814"/>
      <c r="RT15" s="814"/>
      <c r="RU15" s="814"/>
      <c r="RV15" s="814"/>
      <c r="RW15" s="814"/>
      <c r="RX15" s="814"/>
    </row>
    <row r="16" spans="1:492" s="815" customFormat="1" ht="20.149999999999999" customHeight="1">
      <c r="A16" s="802" t="s">
        <v>464</v>
      </c>
      <c r="B16" s="803" t="s">
        <v>465</v>
      </c>
      <c r="C16" s="804"/>
      <c r="D16" s="804"/>
      <c r="E16" s="804"/>
      <c r="F16" s="804"/>
      <c r="G16" s="804"/>
      <c r="H16" s="804"/>
      <c r="I16" s="804"/>
      <c r="J16" s="804"/>
      <c r="K16" s="804"/>
      <c r="L16" s="804"/>
      <c r="M16" s="804"/>
      <c r="N16" s="804"/>
      <c r="O16" s="804"/>
      <c r="P16" s="804"/>
      <c r="Q16" s="804"/>
      <c r="R16" s="804"/>
      <c r="S16" s="804"/>
      <c r="T16" s="804"/>
      <c r="U16" s="804"/>
      <c r="V16" s="804"/>
      <c r="W16" s="804"/>
      <c r="X16" s="804"/>
      <c r="Y16" s="804"/>
      <c r="Z16" s="804"/>
      <c r="AA16" s="804"/>
      <c r="AB16" s="804"/>
      <c r="AC16" s="804"/>
      <c r="AD16" s="804"/>
      <c r="AE16" s="804"/>
      <c r="AF16" s="804"/>
      <c r="AG16" s="804"/>
      <c r="AH16" s="804"/>
      <c r="AI16" s="804"/>
      <c r="AJ16" s="804"/>
      <c r="AK16" s="804"/>
      <c r="AL16" s="804"/>
      <c r="AM16" s="805"/>
      <c r="AN16" s="806"/>
      <c r="AO16" s="806"/>
      <c r="AP16" s="806"/>
      <c r="AQ16" s="807"/>
      <c r="AR16" s="808"/>
      <c r="AS16" s="808"/>
      <c r="AT16" s="808"/>
      <c r="AU16" s="808"/>
      <c r="AV16" s="808"/>
      <c r="AW16" s="806"/>
      <c r="AX16" s="806"/>
      <c r="AY16" s="806"/>
      <c r="AZ16" s="806"/>
      <c r="BA16" s="806"/>
      <c r="BB16" s="809"/>
      <c r="BC16" s="810"/>
      <c r="BD16" s="810"/>
      <c r="BE16" s="810"/>
      <c r="BF16" s="811"/>
      <c r="BG16" s="810"/>
      <c r="BH16" s="810"/>
      <c r="BI16" s="810"/>
      <c r="BJ16" s="810"/>
      <c r="BK16" s="812"/>
      <c r="BL16" s="816"/>
      <c r="BM16" s="817">
        <v>-2.2000000000000002</v>
      </c>
      <c r="BN16" s="817">
        <f>-7.9-BM16-BL16</f>
        <v>-5.7</v>
      </c>
      <c r="BO16" s="810">
        <f>-5.1-BN16-BM16</f>
        <v>2.8000000000000007</v>
      </c>
      <c r="BP16" s="812">
        <f t="shared" si="20"/>
        <v>-5.0999999999999996</v>
      </c>
      <c r="BQ16" s="817">
        <f t="shared" ref="BQ16:BR16" si="27">BQ25</f>
        <v>-1.5</v>
      </c>
      <c r="BR16" s="817">
        <f t="shared" si="27"/>
        <v>0.8</v>
      </c>
      <c r="BS16" s="817">
        <v>-1.2999999999999998</v>
      </c>
      <c r="BT16" s="817">
        <v>-3.1</v>
      </c>
      <c r="BU16" s="824">
        <f t="shared" si="22"/>
        <v>-5.0999999999999996</v>
      </c>
      <c r="BV16" s="817">
        <v>0</v>
      </c>
      <c r="BW16" s="817">
        <v>0</v>
      </c>
      <c r="BX16" s="817">
        <v>0</v>
      </c>
      <c r="BY16" s="817"/>
      <c r="BZ16" s="826">
        <f t="shared" si="23"/>
        <v>0</v>
      </c>
      <c r="CA16" s="817">
        <v>0</v>
      </c>
      <c r="CB16" s="817"/>
      <c r="CC16" s="817"/>
      <c r="CD16" s="817"/>
      <c r="CE16" s="826">
        <f t="shared" si="24"/>
        <v>0</v>
      </c>
      <c r="CF16" s="814"/>
      <c r="CG16" s="814"/>
      <c r="CH16" s="814"/>
      <c r="CI16" s="814"/>
      <c r="CJ16" s="814"/>
      <c r="CK16" s="814"/>
      <c r="CL16" s="814"/>
      <c r="CM16" s="814"/>
      <c r="CN16" s="814"/>
      <c r="CO16" s="814"/>
      <c r="CP16" s="814"/>
      <c r="CQ16" s="814"/>
      <c r="CR16" s="814"/>
      <c r="CS16" s="814"/>
      <c r="CT16" s="814"/>
      <c r="CU16" s="814"/>
      <c r="CV16" s="814"/>
      <c r="CW16" s="814"/>
      <c r="CX16" s="814"/>
      <c r="CY16" s="814"/>
      <c r="CZ16" s="814"/>
      <c r="DA16" s="814"/>
      <c r="DB16" s="814"/>
      <c r="DC16" s="814"/>
      <c r="DD16" s="814"/>
      <c r="DE16" s="814"/>
      <c r="DF16" s="814"/>
      <c r="DG16" s="814"/>
      <c r="DH16" s="814"/>
      <c r="DI16" s="814"/>
      <c r="DJ16" s="814"/>
      <c r="DK16" s="814"/>
      <c r="DL16" s="814"/>
      <c r="DM16" s="814"/>
      <c r="DN16" s="814"/>
      <c r="DO16" s="814"/>
      <c r="DP16" s="814"/>
      <c r="DQ16" s="814"/>
      <c r="DR16" s="814"/>
      <c r="DS16" s="814"/>
      <c r="DT16" s="814"/>
      <c r="DU16" s="814"/>
      <c r="DV16" s="814"/>
      <c r="DW16" s="814"/>
      <c r="DX16" s="814"/>
      <c r="DY16" s="814"/>
      <c r="DZ16" s="814"/>
      <c r="EA16" s="814"/>
      <c r="EB16" s="814"/>
      <c r="EC16" s="814"/>
      <c r="ED16" s="814"/>
      <c r="EE16" s="814"/>
      <c r="EF16" s="814"/>
      <c r="EG16" s="814"/>
      <c r="EH16" s="814"/>
      <c r="EI16" s="814"/>
      <c r="EJ16" s="814"/>
      <c r="EK16" s="814"/>
      <c r="EL16" s="814"/>
      <c r="EM16" s="814"/>
      <c r="EN16" s="814"/>
      <c r="EO16" s="814"/>
      <c r="EP16" s="814"/>
      <c r="EQ16" s="814"/>
      <c r="ER16" s="814"/>
      <c r="ES16" s="814"/>
      <c r="ET16" s="814"/>
      <c r="EU16" s="814"/>
      <c r="EV16" s="814"/>
      <c r="EW16" s="814"/>
      <c r="EX16" s="814"/>
      <c r="EY16" s="814"/>
      <c r="EZ16" s="814"/>
      <c r="FA16" s="814"/>
      <c r="FB16" s="814"/>
      <c r="FC16" s="814"/>
      <c r="FD16" s="814"/>
      <c r="FE16" s="814"/>
      <c r="FF16" s="814"/>
      <c r="FG16" s="814"/>
      <c r="FH16" s="814"/>
      <c r="FI16" s="814"/>
      <c r="FJ16" s="814"/>
      <c r="FK16" s="814"/>
      <c r="FL16" s="814"/>
      <c r="FM16" s="814"/>
      <c r="FN16" s="814"/>
      <c r="FO16" s="814"/>
      <c r="FP16" s="814"/>
      <c r="FQ16" s="814"/>
      <c r="FR16" s="814"/>
      <c r="FS16" s="814"/>
      <c r="FT16" s="814"/>
      <c r="FU16" s="814"/>
      <c r="FV16" s="814"/>
      <c r="FW16" s="814"/>
      <c r="FX16" s="814"/>
      <c r="FY16" s="814"/>
      <c r="FZ16" s="814"/>
      <c r="GA16" s="814"/>
      <c r="GB16" s="814"/>
      <c r="GC16" s="814"/>
      <c r="GD16" s="814"/>
      <c r="GE16" s="814"/>
      <c r="GF16" s="814"/>
      <c r="GG16" s="814"/>
      <c r="GH16" s="814"/>
      <c r="GI16" s="814"/>
      <c r="GJ16" s="814"/>
      <c r="GK16" s="814"/>
      <c r="GL16" s="814"/>
      <c r="GM16" s="814"/>
      <c r="GN16" s="814"/>
      <c r="GO16" s="814"/>
      <c r="GP16" s="814"/>
      <c r="GQ16" s="814"/>
      <c r="GR16" s="814"/>
      <c r="GS16" s="814"/>
      <c r="GT16" s="814"/>
      <c r="GU16" s="814"/>
      <c r="GV16" s="814"/>
      <c r="GW16" s="814"/>
      <c r="GX16" s="814"/>
      <c r="GY16" s="814"/>
      <c r="GZ16" s="814"/>
      <c r="HA16" s="814"/>
      <c r="HB16" s="814"/>
      <c r="HC16" s="814"/>
      <c r="HD16" s="814"/>
      <c r="HE16" s="814"/>
      <c r="HF16" s="814"/>
      <c r="HG16" s="814"/>
      <c r="HH16" s="814"/>
      <c r="HI16" s="814"/>
      <c r="HJ16" s="814"/>
      <c r="HK16" s="814"/>
      <c r="HL16" s="814"/>
      <c r="HM16" s="814"/>
      <c r="HN16" s="814"/>
      <c r="HO16" s="814"/>
      <c r="HP16" s="814"/>
      <c r="HQ16" s="814"/>
      <c r="HR16" s="814"/>
      <c r="HS16" s="814"/>
      <c r="HT16" s="814"/>
      <c r="HU16" s="814"/>
      <c r="HV16" s="814"/>
      <c r="HW16" s="814"/>
      <c r="HX16" s="814"/>
      <c r="HY16" s="814"/>
      <c r="HZ16" s="814"/>
      <c r="IA16" s="814"/>
      <c r="IB16" s="814"/>
      <c r="IC16" s="814"/>
      <c r="ID16" s="814"/>
      <c r="IE16" s="814"/>
      <c r="IF16" s="814"/>
      <c r="IG16" s="814"/>
      <c r="IH16" s="814"/>
      <c r="II16" s="814"/>
      <c r="IJ16" s="814"/>
      <c r="IK16" s="814"/>
      <c r="IL16" s="814"/>
      <c r="IM16" s="814"/>
      <c r="IN16" s="814"/>
      <c r="IO16" s="814"/>
      <c r="IP16" s="814"/>
      <c r="IQ16" s="814"/>
      <c r="IR16" s="814"/>
      <c r="IS16" s="814"/>
      <c r="IT16" s="814"/>
      <c r="IU16" s="814"/>
      <c r="IV16" s="814"/>
      <c r="IW16" s="814"/>
      <c r="IX16" s="814"/>
      <c r="IY16" s="814"/>
      <c r="IZ16" s="814"/>
      <c r="JA16" s="814"/>
      <c r="JB16" s="814"/>
      <c r="JC16" s="814"/>
      <c r="JD16" s="814"/>
      <c r="JE16" s="814"/>
      <c r="JF16" s="814"/>
      <c r="JG16" s="814"/>
      <c r="JH16" s="814"/>
      <c r="JI16" s="814"/>
      <c r="JJ16" s="814"/>
      <c r="JK16" s="814"/>
      <c r="JL16" s="814"/>
      <c r="JM16" s="814"/>
      <c r="JN16" s="814"/>
      <c r="JO16" s="814"/>
      <c r="JP16" s="814"/>
      <c r="JQ16" s="814"/>
      <c r="JR16" s="814"/>
      <c r="JS16" s="814"/>
      <c r="JT16" s="814"/>
      <c r="JU16" s="814"/>
      <c r="JV16" s="814"/>
      <c r="JW16" s="814"/>
      <c r="JX16" s="814"/>
      <c r="JY16" s="814"/>
      <c r="JZ16" s="814"/>
      <c r="KA16" s="814"/>
      <c r="KB16" s="814"/>
      <c r="KC16" s="814"/>
      <c r="KD16" s="814"/>
      <c r="KE16" s="814"/>
      <c r="KF16" s="814"/>
      <c r="KG16" s="814"/>
      <c r="KH16" s="814"/>
      <c r="KI16" s="814"/>
      <c r="KJ16" s="814"/>
      <c r="KK16" s="814"/>
      <c r="KL16" s="814"/>
      <c r="KM16" s="814"/>
      <c r="KN16" s="814"/>
      <c r="KO16" s="814"/>
      <c r="KP16" s="814"/>
      <c r="KQ16" s="814"/>
      <c r="KR16" s="814"/>
      <c r="KS16" s="814"/>
      <c r="KT16" s="814"/>
      <c r="KU16" s="814"/>
      <c r="KV16" s="814"/>
      <c r="KW16" s="814"/>
      <c r="KX16" s="814"/>
      <c r="KY16" s="814"/>
      <c r="KZ16" s="814"/>
      <c r="LA16" s="814"/>
      <c r="LB16" s="814"/>
      <c r="LC16" s="814"/>
      <c r="LD16" s="814"/>
      <c r="LE16" s="814"/>
      <c r="LF16" s="814"/>
      <c r="LG16" s="814"/>
      <c r="LH16" s="814"/>
      <c r="LI16" s="814"/>
      <c r="LJ16" s="814"/>
      <c r="LK16" s="814"/>
      <c r="LL16" s="814"/>
      <c r="LM16" s="814"/>
      <c r="LN16" s="814"/>
      <c r="LO16" s="814"/>
      <c r="LP16" s="814"/>
      <c r="LQ16" s="814"/>
      <c r="LR16" s="814"/>
      <c r="LS16" s="814"/>
      <c r="LT16" s="814"/>
      <c r="LU16" s="814"/>
      <c r="LV16" s="814"/>
      <c r="LW16" s="814"/>
      <c r="LX16" s="814"/>
      <c r="LY16" s="814"/>
      <c r="LZ16" s="814"/>
      <c r="MA16" s="814"/>
      <c r="MB16" s="814"/>
      <c r="MC16" s="814"/>
      <c r="MD16" s="814"/>
      <c r="ME16" s="814"/>
      <c r="MF16" s="814"/>
      <c r="MG16" s="814"/>
      <c r="MH16" s="814"/>
      <c r="MI16" s="814"/>
      <c r="MJ16" s="814"/>
      <c r="MK16" s="814"/>
      <c r="ML16" s="814"/>
      <c r="MM16" s="814"/>
      <c r="MN16" s="814"/>
      <c r="MO16" s="814"/>
      <c r="MP16" s="814"/>
      <c r="MQ16" s="814"/>
      <c r="MR16" s="814"/>
      <c r="MS16" s="814"/>
      <c r="MT16" s="814"/>
      <c r="MU16" s="814"/>
      <c r="MV16" s="814"/>
      <c r="MW16" s="814"/>
      <c r="MX16" s="814"/>
      <c r="MY16" s="814"/>
      <c r="MZ16" s="814"/>
      <c r="NA16" s="814"/>
      <c r="NB16" s="814"/>
      <c r="NC16" s="814"/>
      <c r="ND16" s="814"/>
      <c r="NE16" s="814"/>
      <c r="NF16" s="814"/>
      <c r="NG16" s="814"/>
      <c r="NH16" s="814"/>
      <c r="NI16" s="814"/>
      <c r="NJ16" s="814"/>
      <c r="NK16" s="814"/>
      <c r="NL16" s="814"/>
      <c r="NM16" s="814"/>
      <c r="NN16" s="814"/>
      <c r="NO16" s="814"/>
      <c r="NP16" s="814"/>
      <c r="NQ16" s="814"/>
      <c r="NR16" s="814"/>
      <c r="NS16" s="814"/>
      <c r="NT16" s="814"/>
      <c r="NU16" s="814"/>
      <c r="NV16" s="814"/>
      <c r="NW16" s="814"/>
      <c r="NX16" s="814"/>
      <c r="NY16" s="814"/>
      <c r="NZ16" s="814"/>
      <c r="OA16" s="814"/>
      <c r="OB16" s="814"/>
      <c r="OC16" s="814"/>
      <c r="OD16" s="814"/>
      <c r="OE16" s="814"/>
      <c r="OF16" s="814"/>
      <c r="OG16" s="814"/>
      <c r="OH16" s="814"/>
      <c r="OI16" s="814"/>
      <c r="OJ16" s="814"/>
      <c r="OK16" s="814"/>
      <c r="OL16" s="814"/>
      <c r="OM16" s="814"/>
      <c r="ON16" s="814"/>
      <c r="OO16" s="814"/>
      <c r="OP16" s="814"/>
      <c r="OQ16" s="814"/>
      <c r="OR16" s="814"/>
      <c r="OS16" s="814"/>
      <c r="OT16" s="814"/>
      <c r="OU16" s="814"/>
      <c r="OV16" s="814"/>
      <c r="OW16" s="814"/>
      <c r="OX16" s="814"/>
      <c r="OY16" s="814"/>
      <c r="OZ16" s="814"/>
      <c r="PA16" s="814"/>
      <c r="PB16" s="814"/>
      <c r="PC16" s="814"/>
      <c r="PD16" s="814"/>
      <c r="PE16" s="814"/>
      <c r="PF16" s="814"/>
      <c r="PG16" s="814"/>
      <c r="PH16" s="814"/>
      <c r="PI16" s="814"/>
      <c r="PJ16" s="814"/>
      <c r="PK16" s="814"/>
      <c r="PL16" s="814"/>
      <c r="PM16" s="814"/>
      <c r="PN16" s="814"/>
      <c r="PO16" s="814"/>
      <c r="PP16" s="814"/>
      <c r="PQ16" s="814"/>
      <c r="PR16" s="814"/>
      <c r="PS16" s="814"/>
      <c r="PT16" s="814"/>
      <c r="PU16" s="814"/>
      <c r="PV16" s="814"/>
      <c r="PW16" s="814"/>
      <c r="PX16" s="814"/>
      <c r="PY16" s="814"/>
      <c r="PZ16" s="814"/>
      <c r="QA16" s="814"/>
      <c r="QB16" s="814"/>
      <c r="QC16" s="814"/>
      <c r="QD16" s="814"/>
      <c r="QE16" s="814"/>
      <c r="QF16" s="814"/>
      <c r="QG16" s="814"/>
      <c r="QH16" s="814"/>
      <c r="QI16" s="814"/>
      <c r="QJ16" s="814"/>
      <c r="QK16" s="814"/>
      <c r="QL16" s="814"/>
      <c r="QM16" s="814"/>
      <c r="QN16" s="814"/>
      <c r="QO16" s="814"/>
      <c r="QP16" s="814"/>
      <c r="QQ16" s="814"/>
      <c r="QR16" s="814"/>
      <c r="QS16" s="814"/>
      <c r="QT16" s="814"/>
      <c r="QU16" s="814"/>
      <c r="QV16" s="814"/>
      <c r="QW16" s="814"/>
      <c r="QX16" s="814"/>
      <c r="QY16" s="814"/>
      <c r="QZ16" s="814"/>
      <c r="RA16" s="814"/>
      <c r="RB16" s="814"/>
      <c r="RC16" s="814"/>
      <c r="RD16" s="814"/>
      <c r="RE16" s="814"/>
      <c r="RF16" s="814"/>
      <c r="RG16" s="814"/>
      <c r="RH16" s="814"/>
      <c r="RI16" s="814"/>
      <c r="RJ16" s="814"/>
      <c r="RK16" s="814"/>
      <c r="RL16" s="814"/>
      <c r="RM16" s="814"/>
      <c r="RN16" s="814"/>
      <c r="RO16" s="814"/>
      <c r="RP16" s="814"/>
      <c r="RQ16" s="814"/>
      <c r="RR16" s="814"/>
      <c r="RS16" s="814"/>
      <c r="RT16" s="814"/>
      <c r="RU16" s="814"/>
      <c r="RV16" s="814"/>
      <c r="RW16" s="814"/>
      <c r="RX16" s="814"/>
    </row>
    <row r="17" spans="1:492" s="815" customFormat="1" ht="20.25" customHeight="1">
      <c r="A17" s="802" t="s">
        <v>469</v>
      </c>
      <c r="B17" s="803" t="s">
        <v>470</v>
      </c>
      <c r="C17" s="818"/>
      <c r="D17" s="818"/>
      <c r="E17" s="818"/>
      <c r="F17" s="818"/>
      <c r="G17" s="818"/>
      <c r="H17" s="818"/>
      <c r="I17" s="818"/>
      <c r="J17" s="818"/>
      <c r="K17" s="818"/>
      <c r="L17" s="818"/>
      <c r="M17" s="818"/>
      <c r="N17" s="818"/>
      <c r="O17" s="818"/>
      <c r="P17" s="818"/>
      <c r="Q17" s="818"/>
      <c r="R17" s="818"/>
      <c r="S17" s="818"/>
      <c r="T17" s="818"/>
      <c r="U17" s="818"/>
      <c r="V17" s="818"/>
      <c r="W17" s="818"/>
      <c r="X17" s="818"/>
      <c r="Y17" s="818"/>
      <c r="Z17" s="818"/>
      <c r="AA17" s="818"/>
      <c r="AB17" s="818"/>
      <c r="AC17" s="818"/>
      <c r="AD17" s="818"/>
      <c r="AE17" s="818"/>
      <c r="AF17" s="818"/>
      <c r="AG17" s="818"/>
      <c r="AH17" s="818"/>
      <c r="AI17" s="818"/>
      <c r="AJ17" s="818"/>
      <c r="AK17" s="818"/>
      <c r="AL17" s="818"/>
      <c r="AM17" s="805"/>
      <c r="AN17" s="806"/>
      <c r="AO17" s="806"/>
      <c r="AP17" s="806"/>
      <c r="AQ17" s="807"/>
      <c r="AR17" s="808"/>
      <c r="AS17" s="808"/>
      <c r="AT17" s="808"/>
      <c r="AU17" s="808"/>
      <c r="AV17" s="808"/>
      <c r="AW17" s="806"/>
      <c r="AX17" s="806"/>
      <c r="AY17" s="806"/>
      <c r="AZ17" s="806"/>
      <c r="BA17" s="806"/>
      <c r="BB17" s="809">
        <v>0</v>
      </c>
      <c r="BC17" s="810">
        <v>-41.5</v>
      </c>
      <c r="BD17" s="810">
        <v>-3.3</v>
      </c>
      <c r="BE17" s="810">
        <v>-1.1000000000000001</v>
      </c>
      <c r="BF17" s="819">
        <f t="shared" ref="BF17" si="28">SUM(BB17:BE17)</f>
        <v>-45.9</v>
      </c>
      <c r="BG17" s="806"/>
      <c r="BH17" s="806"/>
      <c r="BI17" s="820">
        <v>0</v>
      </c>
      <c r="BJ17" s="820">
        <v>0</v>
      </c>
      <c r="BK17" s="812">
        <f t="shared" ref="BK17" si="29">SUM(BG17:BJ17)</f>
        <v>0</v>
      </c>
      <c r="BL17" s="816">
        <v>0</v>
      </c>
      <c r="BM17" s="821">
        <v>0</v>
      </c>
      <c r="BN17" s="820">
        <v>0</v>
      </c>
      <c r="BO17" s="820"/>
      <c r="BP17" s="812">
        <f t="shared" si="20"/>
        <v>0</v>
      </c>
      <c r="BQ17" s="816">
        <v>0</v>
      </c>
      <c r="BR17" s="821">
        <v>0</v>
      </c>
      <c r="BS17" s="820">
        <v>0</v>
      </c>
      <c r="BT17" s="820"/>
      <c r="BU17" s="826">
        <f t="shared" si="22"/>
        <v>0</v>
      </c>
      <c r="BV17" s="816">
        <v>0</v>
      </c>
      <c r="BW17" s="821">
        <v>0</v>
      </c>
      <c r="BX17" s="820">
        <v>0</v>
      </c>
      <c r="BY17" s="820"/>
      <c r="BZ17" s="826">
        <f t="shared" si="23"/>
        <v>0</v>
      </c>
      <c r="CA17" s="816">
        <v>0</v>
      </c>
      <c r="CB17" s="821"/>
      <c r="CC17" s="820"/>
      <c r="CD17" s="820"/>
      <c r="CE17" s="826">
        <f t="shared" si="24"/>
        <v>0</v>
      </c>
      <c r="CF17" s="814"/>
      <c r="CG17" s="814"/>
      <c r="CH17" s="814"/>
      <c r="CI17" s="814"/>
      <c r="CJ17" s="814"/>
      <c r="CK17" s="814"/>
      <c r="CL17" s="814"/>
      <c r="CM17" s="814"/>
      <c r="CN17" s="814"/>
      <c r="CO17" s="814"/>
      <c r="CP17" s="814"/>
      <c r="CQ17" s="814"/>
      <c r="CR17" s="814"/>
      <c r="CS17" s="814"/>
      <c r="CT17" s="814"/>
      <c r="CU17" s="814"/>
      <c r="CV17" s="814"/>
      <c r="CW17" s="814"/>
      <c r="CX17" s="814"/>
      <c r="CY17" s="814"/>
      <c r="CZ17" s="814"/>
      <c r="DA17" s="814"/>
      <c r="DB17" s="814"/>
      <c r="DC17" s="814"/>
      <c r="DD17" s="814"/>
      <c r="DE17" s="814"/>
      <c r="DF17" s="814"/>
      <c r="DG17" s="814"/>
      <c r="DH17" s="814"/>
      <c r="DI17" s="814"/>
      <c r="DJ17" s="814"/>
      <c r="DK17" s="814"/>
      <c r="DL17" s="814"/>
      <c r="DM17" s="814"/>
      <c r="DN17" s="814"/>
      <c r="DO17" s="814"/>
      <c r="DP17" s="814"/>
      <c r="DQ17" s="814"/>
      <c r="DR17" s="814"/>
      <c r="DS17" s="814"/>
      <c r="DT17" s="814"/>
      <c r="DU17" s="814"/>
      <c r="DV17" s="814"/>
      <c r="DW17" s="814"/>
      <c r="DX17" s="814"/>
      <c r="DY17" s="814"/>
      <c r="DZ17" s="814"/>
      <c r="EA17" s="814"/>
      <c r="EB17" s="814"/>
      <c r="EC17" s="814"/>
      <c r="ED17" s="814"/>
      <c r="EE17" s="814"/>
      <c r="EF17" s="814"/>
      <c r="EG17" s="814"/>
      <c r="EH17" s="814"/>
      <c r="EI17" s="814"/>
      <c r="EJ17" s="814"/>
      <c r="EK17" s="814"/>
      <c r="EL17" s="814"/>
      <c r="EM17" s="814"/>
      <c r="EN17" s="814"/>
      <c r="EO17" s="814"/>
      <c r="EP17" s="814"/>
      <c r="EQ17" s="814"/>
      <c r="ER17" s="814"/>
      <c r="ES17" s="814"/>
      <c r="ET17" s="814"/>
      <c r="EU17" s="814"/>
      <c r="EV17" s="814"/>
      <c r="EW17" s="814"/>
      <c r="EX17" s="814"/>
      <c r="EY17" s="814"/>
      <c r="EZ17" s="814"/>
      <c r="FA17" s="814"/>
      <c r="FB17" s="814"/>
      <c r="FC17" s="814"/>
      <c r="FD17" s="814"/>
      <c r="FE17" s="814"/>
      <c r="FF17" s="814"/>
      <c r="FG17" s="814"/>
      <c r="FH17" s="814"/>
      <c r="FI17" s="814"/>
      <c r="FJ17" s="814"/>
      <c r="FK17" s="814"/>
      <c r="FL17" s="814"/>
      <c r="FM17" s="814"/>
      <c r="FN17" s="814"/>
      <c r="FO17" s="814"/>
      <c r="FP17" s="814"/>
      <c r="FQ17" s="814"/>
      <c r="FR17" s="814"/>
      <c r="FS17" s="814"/>
      <c r="FT17" s="814"/>
      <c r="FU17" s="814"/>
      <c r="FV17" s="814"/>
      <c r="FW17" s="814"/>
      <c r="FX17" s="814"/>
      <c r="FY17" s="814"/>
      <c r="FZ17" s="814"/>
      <c r="GA17" s="814"/>
      <c r="GB17" s="814"/>
      <c r="GC17" s="814"/>
      <c r="GD17" s="814"/>
      <c r="GE17" s="814"/>
      <c r="GF17" s="814"/>
      <c r="GG17" s="814"/>
      <c r="GH17" s="814"/>
      <c r="GI17" s="814"/>
      <c r="GJ17" s="814"/>
      <c r="GK17" s="814"/>
      <c r="GL17" s="814"/>
      <c r="GM17" s="814"/>
      <c r="GN17" s="814"/>
      <c r="GO17" s="814"/>
      <c r="GP17" s="814"/>
      <c r="GQ17" s="814"/>
      <c r="GR17" s="814"/>
      <c r="GS17" s="814"/>
      <c r="GT17" s="814"/>
      <c r="GU17" s="814"/>
      <c r="GV17" s="814"/>
      <c r="GW17" s="814"/>
      <c r="GX17" s="814"/>
      <c r="GY17" s="814"/>
      <c r="GZ17" s="814"/>
      <c r="HA17" s="814"/>
      <c r="HB17" s="814"/>
      <c r="HC17" s="814"/>
      <c r="HD17" s="814"/>
      <c r="HE17" s="814"/>
      <c r="HF17" s="814"/>
      <c r="HG17" s="814"/>
      <c r="HH17" s="814"/>
      <c r="HI17" s="814"/>
      <c r="HJ17" s="814"/>
      <c r="HK17" s="814"/>
      <c r="HL17" s="814"/>
      <c r="HM17" s="814"/>
      <c r="HN17" s="814"/>
      <c r="HO17" s="814"/>
      <c r="HP17" s="814"/>
      <c r="HQ17" s="814"/>
      <c r="HR17" s="814"/>
      <c r="HS17" s="814"/>
      <c r="HT17" s="814"/>
      <c r="HU17" s="814"/>
      <c r="HV17" s="814"/>
      <c r="HW17" s="814"/>
      <c r="HX17" s="814"/>
      <c r="HY17" s="814"/>
      <c r="HZ17" s="814"/>
      <c r="IA17" s="814"/>
      <c r="IB17" s="814"/>
      <c r="IC17" s="814"/>
      <c r="ID17" s="814"/>
      <c r="IE17" s="814"/>
      <c r="IF17" s="814"/>
      <c r="IG17" s="814"/>
      <c r="IH17" s="814"/>
      <c r="II17" s="814"/>
      <c r="IJ17" s="814"/>
      <c r="IK17" s="814"/>
      <c r="IL17" s="814"/>
      <c r="IM17" s="814"/>
      <c r="IN17" s="814"/>
      <c r="IO17" s="814"/>
      <c r="IP17" s="814"/>
      <c r="IQ17" s="814"/>
      <c r="IR17" s="814"/>
      <c r="IS17" s="814"/>
      <c r="IT17" s="814"/>
      <c r="IU17" s="814"/>
      <c r="IV17" s="814"/>
      <c r="IW17" s="814"/>
      <c r="IX17" s="814"/>
      <c r="IY17" s="814"/>
      <c r="IZ17" s="814"/>
      <c r="JA17" s="814"/>
      <c r="JB17" s="814"/>
      <c r="JC17" s="814"/>
      <c r="JD17" s="814"/>
      <c r="JE17" s="814"/>
      <c r="JF17" s="814"/>
      <c r="JG17" s="814"/>
      <c r="JH17" s="814"/>
      <c r="JI17" s="814"/>
      <c r="JJ17" s="814"/>
      <c r="JK17" s="814"/>
      <c r="JL17" s="814"/>
      <c r="JM17" s="814"/>
      <c r="JN17" s="814"/>
      <c r="JO17" s="814"/>
      <c r="JP17" s="814"/>
      <c r="JQ17" s="814"/>
      <c r="JR17" s="814"/>
      <c r="JS17" s="814"/>
      <c r="JT17" s="814"/>
      <c r="JU17" s="814"/>
      <c r="JV17" s="814"/>
      <c r="JW17" s="814"/>
      <c r="JX17" s="814"/>
      <c r="JY17" s="814"/>
      <c r="JZ17" s="814"/>
      <c r="KA17" s="814"/>
      <c r="KB17" s="814"/>
      <c r="KC17" s="814"/>
      <c r="KD17" s="814"/>
      <c r="KE17" s="814"/>
      <c r="KF17" s="814"/>
      <c r="KG17" s="814"/>
      <c r="KH17" s="814"/>
      <c r="KI17" s="814"/>
      <c r="KJ17" s="814"/>
      <c r="KK17" s="814"/>
      <c r="KL17" s="814"/>
      <c r="KM17" s="814"/>
      <c r="KN17" s="814"/>
      <c r="KO17" s="814"/>
      <c r="KP17" s="814"/>
      <c r="KQ17" s="814"/>
      <c r="KR17" s="814"/>
      <c r="KS17" s="814"/>
      <c r="KT17" s="814"/>
      <c r="KU17" s="814"/>
      <c r="KV17" s="814"/>
      <c r="KW17" s="814"/>
      <c r="KX17" s="814"/>
      <c r="KY17" s="814"/>
      <c r="KZ17" s="814"/>
      <c r="LA17" s="814"/>
      <c r="LB17" s="814"/>
      <c r="LC17" s="814"/>
      <c r="LD17" s="814"/>
      <c r="LE17" s="814"/>
      <c r="LF17" s="814"/>
      <c r="LG17" s="814"/>
      <c r="LH17" s="814"/>
      <c r="LI17" s="814"/>
      <c r="LJ17" s="814"/>
      <c r="LK17" s="814"/>
      <c r="LL17" s="814"/>
      <c r="LM17" s="814"/>
      <c r="LN17" s="814"/>
      <c r="LO17" s="814"/>
      <c r="LP17" s="814"/>
      <c r="LQ17" s="814"/>
      <c r="LR17" s="814"/>
      <c r="LS17" s="814"/>
      <c r="LT17" s="814"/>
      <c r="LU17" s="814"/>
      <c r="LV17" s="814"/>
      <c r="LW17" s="814"/>
      <c r="LX17" s="814"/>
      <c r="LY17" s="814"/>
      <c r="LZ17" s="814"/>
      <c r="MA17" s="814"/>
      <c r="MB17" s="814"/>
      <c r="MC17" s="814"/>
      <c r="MD17" s="814"/>
      <c r="ME17" s="814"/>
      <c r="MF17" s="814"/>
      <c r="MG17" s="814"/>
      <c r="MH17" s="814"/>
      <c r="MI17" s="814"/>
      <c r="MJ17" s="814"/>
      <c r="MK17" s="814"/>
      <c r="ML17" s="814"/>
      <c r="MM17" s="814"/>
      <c r="MN17" s="814"/>
      <c r="MO17" s="814"/>
      <c r="MP17" s="814"/>
      <c r="MQ17" s="814"/>
      <c r="MR17" s="814"/>
      <c r="MS17" s="814"/>
      <c r="MT17" s="814"/>
      <c r="MU17" s="814"/>
      <c r="MV17" s="814"/>
      <c r="MW17" s="814"/>
      <c r="MX17" s="814"/>
      <c r="MY17" s="814"/>
      <c r="MZ17" s="814"/>
      <c r="NA17" s="814"/>
      <c r="NB17" s="814"/>
      <c r="NC17" s="814"/>
      <c r="ND17" s="814"/>
      <c r="NE17" s="814"/>
      <c r="NF17" s="814"/>
      <c r="NG17" s="814"/>
      <c r="NH17" s="814"/>
      <c r="NI17" s="814"/>
      <c r="NJ17" s="814"/>
      <c r="NK17" s="814"/>
      <c r="NL17" s="814"/>
      <c r="NM17" s="814"/>
      <c r="NN17" s="814"/>
      <c r="NO17" s="814"/>
      <c r="NP17" s="814"/>
      <c r="NQ17" s="814"/>
      <c r="NR17" s="814"/>
      <c r="NS17" s="814"/>
      <c r="NT17" s="814"/>
      <c r="NU17" s="814"/>
      <c r="NV17" s="814"/>
      <c r="NW17" s="814"/>
      <c r="NX17" s="814"/>
      <c r="NY17" s="814"/>
      <c r="NZ17" s="814"/>
      <c r="OA17" s="814"/>
      <c r="OB17" s="814"/>
      <c r="OC17" s="814"/>
      <c r="OD17" s="814"/>
      <c r="OE17" s="814"/>
      <c r="OF17" s="814"/>
      <c r="OG17" s="814"/>
      <c r="OH17" s="814"/>
      <c r="OI17" s="814"/>
      <c r="OJ17" s="814"/>
      <c r="OK17" s="814"/>
      <c r="OL17" s="814"/>
      <c r="OM17" s="814"/>
      <c r="ON17" s="814"/>
      <c r="OO17" s="814"/>
      <c r="OP17" s="814"/>
      <c r="OQ17" s="814"/>
      <c r="OR17" s="814"/>
      <c r="OS17" s="814"/>
      <c r="OT17" s="814"/>
      <c r="OU17" s="814"/>
      <c r="OV17" s="814"/>
      <c r="OW17" s="814"/>
      <c r="OX17" s="814"/>
      <c r="OY17" s="814"/>
      <c r="OZ17" s="814"/>
      <c r="PA17" s="814"/>
      <c r="PB17" s="814"/>
      <c r="PC17" s="814"/>
      <c r="PD17" s="814"/>
      <c r="PE17" s="814"/>
      <c r="PF17" s="814"/>
      <c r="PG17" s="814"/>
      <c r="PH17" s="814"/>
      <c r="PI17" s="814"/>
      <c r="PJ17" s="814"/>
      <c r="PK17" s="814"/>
      <c r="PL17" s="814"/>
      <c r="PM17" s="814"/>
      <c r="PN17" s="814"/>
      <c r="PO17" s="814"/>
      <c r="PP17" s="814"/>
      <c r="PQ17" s="814"/>
      <c r="PR17" s="814"/>
      <c r="PS17" s="814"/>
      <c r="PT17" s="814"/>
      <c r="PU17" s="814"/>
      <c r="PV17" s="814"/>
      <c r="PW17" s="814"/>
      <c r="PX17" s="814"/>
      <c r="PY17" s="814"/>
      <c r="PZ17" s="814"/>
      <c r="QA17" s="814"/>
      <c r="QB17" s="814"/>
      <c r="QC17" s="814"/>
      <c r="QD17" s="814"/>
      <c r="QE17" s="814"/>
      <c r="QF17" s="814"/>
      <c r="QG17" s="814"/>
      <c r="QH17" s="814"/>
      <c r="QI17" s="814"/>
      <c r="QJ17" s="814"/>
      <c r="QK17" s="814"/>
      <c r="QL17" s="814"/>
      <c r="QM17" s="814"/>
      <c r="QN17" s="814"/>
      <c r="QO17" s="814"/>
      <c r="QP17" s="814"/>
      <c r="QQ17" s="814"/>
      <c r="QR17" s="814"/>
      <c r="QS17" s="814"/>
      <c r="QT17" s="814"/>
      <c r="QU17" s="814"/>
      <c r="QV17" s="814"/>
      <c r="QW17" s="814"/>
      <c r="QX17" s="814"/>
      <c r="QY17" s="814"/>
      <c r="QZ17" s="814"/>
      <c r="RA17" s="814"/>
      <c r="RB17" s="814"/>
      <c r="RC17" s="814"/>
      <c r="RD17" s="814"/>
      <c r="RE17" s="814"/>
      <c r="RF17" s="814"/>
      <c r="RG17" s="814"/>
      <c r="RH17" s="814"/>
      <c r="RI17" s="814"/>
      <c r="RJ17" s="814"/>
      <c r="RK17" s="814"/>
      <c r="RL17" s="814"/>
      <c r="RM17" s="814"/>
      <c r="RN17" s="814"/>
      <c r="RO17" s="814"/>
      <c r="RP17" s="814"/>
      <c r="RQ17" s="814"/>
      <c r="RR17" s="814"/>
      <c r="RS17" s="814"/>
      <c r="RT17" s="814"/>
      <c r="RU17" s="814"/>
      <c r="RV17" s="814"/>
      <c r="RW17" s="814"/>
      <c r="RX17" s="814"/>
    </row>
    <row r="18" spans="1:492" s="815" customFormat="1" ht="14.15">
      <c r="A18" s="802" t="s">
        <v>471</v>
      </c>
      <c r="B18" s="803" t="s">
        <v>472</v>
      </c>
      <c r="C18" s="818"/>
      <c r="D18" s="818"/>
      <c r="E18" s="818"/>
      <c r="F18" s="818"/>
      <c r="G18" s="818"/>
      <c r="H18" s="818"/>
      <c r="I18" s="818"/>
      <c r="J18" s="818"/>
      <c r="K18" s="818"/>
      <c r="L18" s="818"/>
      <c r="M18" s="818"/>
      <c r="N18" s="818"/>
      <c r="O18" s="818"/>
      <c r="P18" s="818"/>
      <c r="Q18" s="818"/>
      <c r="R18" s="818"/>
      <c r="S18" s="818"/>
      <c r="T18" s="818"/>
      <c r="U18" s="818"/>
      <c r="V18" s="818"/>
      <c r="W18" s="818"/>
      <c r="X18" s="818"/>
      <c r="Y18" s="818"/>
      <c r="Z18" s="818"/>
      <c r="AA18" s="818"/>
      <c r="AB18" s="818"/>
      <c r="AC18" s="818"/>
      <c r="AD18" s="818"/>
      <c r="AE18" s="818"/>
      <c r="AF18" s="818"/>
      <c r="AG18" s="818"/>
      <c r="AH18" s="818"/>
      <c r="AI18" s="818"/>
      <c r="AJ18" s="818"/>
      <c r="AK18" s="818"/>
      <c r="AL18" s="818"/>
      <c r="AM18" s="805"/>
      <c r="AN18" s="806"/>
      <c r="AO18" s="806"/>
      <c r="AP18" s="806"/>
      <c r="AQ18" s="807"/>
      <c r="AR18" s="808"/>
      <c r="AS18" s="808"/>
      <c r="AT18" s="808"/>
      <c r="AU18" s="808"/>
      <c r="AV18" s="808"/>
      <c r="AW18" s="806"/>
      <c r="AX18" s="806"/>
      <c r="AY18" s="806"/>
      <c r="AZ18" s="806"/>
      <c r="BA18" s="806"/>
      <c r="BB18" s="809"/>
      <c r="BC18" s="810"/>
      <c r="BD18" s="810"/>
      <c r="BE18" s="810"/>
      <c r="BF18" s="819"/>
      <c r="BG18" s="806"/>
      <c r="BH18" s="806"/>
      <c r="BI18" s="820">
        <v>3690.8</v>
      </c>
      <c r="BJ18" s="820">
        <f>3680.6-SUM(BG18:BI18)</f>
        <v>-10.200000000000273</v>
      </c>
      <c r="BK18" s="812">
        <f t="shared" si="19"/>
        <v>3680.6</v>
      </c>
      <c r="BL18" s="816">
        <v>0</v>
      </c>
      <c r="BM18" s="821">
        <v>0</v>
      </c>
      <c r="BN18" s="820">
        <v>113.4</v>
      </c>
      <c r="BO18" s="820">
        <v>39.799999999999997</v>
      </c>
      <c r="BP18" s="812">
        <f t="shared" si="20"/>
        <v>153.19999999999999</v>
      </c>
      <c r="BQ18" s="816">
        <v>0</v>
      </c>
      <c r="BR18" s="821">
        <v>0</v>
      </c>
      <c r="BS18" s="820">
        <v>220.1</v>
      </c>
      <c r="BT18" s="817">
        <v>-0.4</v>
      </c>
      <c r="BU18" s="824">
        <f t="shared" si="22"/>
        <v>219.7</v>
      </c>
      <c r="BV18" s="816">
        <v>10</v>
      </c>
      <c r="BW18" s="821">
        <v>0</v>
      </c>
      <c r="BX18" s="820">
        <v>0</v>
      </c>
      <c r="BY18" s="817"/>
      <c r="BZ18" s="824">
        <f t="shared" si="23"/>
        <v>10</v>
      </c>
      <c r="CA18" s="816">
        <v>-0.2</v>
      </c>
      <c r="CB18" s="821"/>
      <c r="CC18" s="820"/>
      <c r="CD18" s="817"/>
      <c r="CE18" s="824">
        <f t="shared" si="24"/>
        <v>-0.2</v>
      </c>
    </row>
    <row r="19" spans="1:492" s="815" customFormat="1" ht="20.149999999999999" customHeight="1" thickBot="1">
      <c r="A19" s="802" t="s">
        <v>94</v>
      </c>
      <c r="B19" s="803" t="s">
        <v>473</v>
      </c>
      <c r="C19" s="818"/>
      <c r="D19" s="818"/>
      <c r="E19" s="818"/>
      <c r="F19" s="818"/>
      <c r="G19" s="818"/>
      <c r="H19" s="818"/>
      <c r="I19" s="818"/>
      <c r="J19" s="818"/>
      <c r="K19" s="818"/>
      <c r="L19" s="818"/>
      <c r="M19" s="818"/>
      <c r="N19" s="818"/>
      <c r="O19" s="818"/>
      <c r="P19" s="818"/>
      <c r="Q19" s="818"/>
      <c r="R19" s="818"/>
      <c r="S19" s="818"/>
      <c r="T19" s="818"/>
      <c r="U19" s="818"/>
      <c r="V19" s="818"/>
      <c r="W19" s="818"/>
      <c r="X19" s="818"/>
      <c r="Y19" s="818"/>
      <c r="Z19" s="818"/>
      <c r="AA19" s="818"/>
      <c r="AB19" s="818"/>
      <c r="AC19" s="818"/>
      <c r="AD19" s="818"/>
      <c r="AE19" s="818"/>
      <c r="AF19" s="818"/>
      <c r="AG19" s="818"/>
      <c r="AH19" s="818"/>
      <c r="AI19" s="818"/>
      <c r="AJ19" s="818"/>
      <c r="AK19" s="818"/>
      <c r="AL19" s="818"/>
      <c r="AM19" s="805"/>
      <c r="AN19" s="806"/>
      <c r="AO19" s="806"/>
      <c r="AP19" s="806"/>
      <c r="AQ19" s="807"/>
      <c r="AR19" s="806"/>
      <c r="AS19" s="806"/>
      <c r="AT19" s="806"/>
      <c r="AU19" s="806"/>
      <c r="AV19" s="808"/>
      <c r="AW19" s="806"/>
      <c r="AX19" s="806"/>
      <c r="AY19" s="806"/>
      <c r="AZ19" s="806"/>
      <c r="BA19" s="806"/>
      <c r="BB19" s="809"/>
      <c r="BC19" s="810"/>
      <c r="BD19" s="810"/>
      <c r="BE19" s="810"/>
      <c r="BF19" s="819"/>
      <c r="BG19" s="806"/>
      <c r="BH19" s="806"/>
      <c r="BI19" s="820"/>
      <c r="BJ19" s="820"/>
      <c r="BK19" s="812"/>
      <c r="BL19" s="820">
        <v>-34.1</v>
      </c>
      <c r="BM19" s="817">
        <v>0</v>
      </c>
      <c r="BN19" s="820">
        <v>0</v>
      </c>
      <c r="BO19" s="820"/>
      <c r="BP19" s="812">
        <f t="shared" si="20"/>
        <v>-34.1</v>
      </c>
      <c r="BQ19" s="816">
        <v>0</v>
      </c>
      <c r="BR19" s="821">
        <v>0</v>
      </c>
      <c r="BS19" s="821">
        <v>0</v>
      </c>
      <c r="BT19" s="817"/>
      <c r="BU19" s="826">
        <f t="shared" si="22"/>
        <v>0</v>
      </c>
      <c r="BV19" s="816">
        <v>0</v>
      </c>
      <c r="BW19" s="821">
        <v>0</v>
      </c>
      <c r="BX19" s="821">
        <v>0</v>
      </c>
      <c r="BY19" s="817"/>
      <c r="BZ19" s="826">
        <f t="shared" si="23"/>
        <v>0</v>
      </c>
      <c r="CA19" s="816">
        <v>0</v>
      </c>
      <c r="CB19" s="821"/>
      <c r="CC19" s="821"/>
      <c r="CD19" s="817"/>
      <c r="CE19" s="826">
        <f t="shared" si="24"/>
        <v>0</v>
      </c>
    </row>
    <row r="20" spans="1:492" s="59" customFormat="1" ht="20.25" customHeight="1" thickBot="1">
      <c r="A20" s="490" t="s">
        <v>474</v>
      </c>
      <c r="B20" s="511" t="s">
        <v>475</v>
      </c>
      <c r="C20" s="391"/>
      <c r="D20" s="391"/>
      <c r="E20" s="391"/>
      <c r="F20" s="391"/>
      <c r="G20" s="391"/>
      <c r="H20" s="391"/>
      <c r="I20" s="391"/>
      <c r="J20" s="391"/>
      <c r="K20" s="391"/>
      <c r="L20" s="391"/>
      <c r="M20" s="391"/>
      <c r="N20" s="391"/>
      <c r="O20" s="391"/>
      <c r="P20" s="391"/>
      <c r="Q20" s="391"/>
      <c r="R20" s="391"/>
      <c r="S20" s="391"/>
      <c r="T20" s="391"/>
      <c r="U20" s="391"/>
      <c r="V20" s="391"/>
      <c r="W20" s="391"/>
      <c r="X20" s="391"/>
      <c r="Y20" s="391"/>
      <c r="Z20" s="391"/>
      <c r="AA20" s="391"/>
      <c r="AB20" s="391"/>
      <c r="AC20" s="391"/>
      <c r="AD20" s="391"/>
      <c r="AE20" s="391"/>
      <c r="AF20" s="391"/>
      <c r="AG20" s="391"/>
      <c r="AH20" s="391"/>
      <c r="AI20" s="391"/>
      <c r="AJ20" s="391"/>
      <c r="AK20" s="391"/>
      <c r="AL20" s="391"/>
      <c r="AM20" s="502">
        <f>SUM(AM21:AM22)</f>
        <v>890</v>
      </c>
      <c r="AN20" s="392">
        <f t="shared" ref="AN20:AQ20" si="30">SUM(AN21:AN22)</f>
        <v>946.40000000000009</v>
      </c>
      <c r="AO20" s="392">
        <f t="shared" si="30"/>
        <v>920</v>
      </c>
      <c r="AP20" s="392">
        <f t="shared" si="30"/>
        <v>941.3</v>
      </c>
      <c r="AQ20" s="503">
        <f t="shared" si="30"/>
        <v>3697.7</v>
      </c>
      <c r="AR20" s="392"/>
      <c r="AS20" s="392"/>
      <c r="AT20" s="392"/>
      <c r="AU20" s="392"/>
      <c r="AV20" s="393"/>
      <c r="AW20" s="392">
        <f t="shared" ref="AW20:BE20" si="31">SUM(AW21:AW22)</f>
        <v>1038.3</v>
      </c>
      <c r="AX20" s="392">
        <f t="shared" si="31"/>
        <v>1076.0999999999999</v>
      </c>
      <c r="AY20" s="392">
        <f t="shared" si="31"/>
        <v>1020.4999999999999</v>
      </c>
      <c r="AZ20" s="392">
        <f t="shared" si="31"/>
        <v>1061.8000000000004</v>
      </c>
      <c r="BA20" s="494">
        <f t="shared" si="31"/>
        <v>4196.7</v>
      </c>
      <c r="BB20" s="502">
        <f t="shared" si="31"/>
        <v>1026.7</v>
      </c>
      <c r="BC20" s="392">
        <f t="shared" si="31"/>
        <v>960</v>
      </c>
      <c r="BD20" s="392">
        <f t="shared" si="31"/>
        <v>1078.9000000000001</v>
      </c>
      <c r="BE20" s="392">
        <f t="shared" si="31"/>
        <v>1126.3</v>
      </c>
      <c r="BF20" s="503">
        <f>SUM(BF21:BF22)</f>
        <v>4191.9000000000005</v>
      </c>
      <c r="BG20" s="392">
        <f>SUM(BG21:BG22)</f>
        <v>1082.7</v>
      </c>
      <c r="BH20" s="392">
        <f t="shared" ref="BH20:BJ20" si="32">SUM(BH21:BH22)</f>
        <v>1140.9000000000001</v>
      </c>
      <c r="BI20" s="392">
        <f t="shared" si="32"/>
        <v>4594.9999999999991</v>
      </c>
      <c r="BJ20" s="392">
        <f t="shared" si="32"/>
        <v>881.00000000000011</v>
      </c>
      <c r="BK20" s="503">
        <f>SUM(BK21:BK22)</f>
        <v>7699.6</v>
      </c>
      <c r="BL20" s="392">
        <f>SUM(BL21:BL23)</f>
        <v>766.6</v>
      </c>
      <c r="BM20" s="672">
        <f>SUM(BM21:BM25)</f>
        <v>893.3</v>
      </c>
      <c r="BN20" s="392">
        <f>SUM(BN21:BN25)</f>
        <v>952.99999999999966</v>
      </c>
      <c r="BO20" s="392">
        <f>SUM(BO21:BO25)</f>
        <v>858.30000000000007</v>
      </c>
      <c r="BP20" s="503">
        <f>SUM(BP21:BP25)</f>
        <v>3471.2000000000003</v>
      </c>
      <c r="BQ20" s="392">
        <f>SUM(BQ21:BQ25)</f>
        <v>761.2</v>
      </c>
      <c r="BR20" s="392">
        <f t="shared" ref="BR20:BT20" si="33">SUM(BR21:BR25)</f>
        <v>798.5</v>
      </c>
      <c r="BS20" s="392">
        <f t="shared" si="33"/>
        <v>994.8</v>
      </c>
      <c r="BT20" s="392">
        <f t="shared" si="33"/>
        <v>676.7</v>
      </c>
      <c r="BU20" s="825">
        <f>SUM(BU21:BU25)</f>
        <v>3231.2000000000003</v>
      </c>
      <c r="BV20" s="392">
        <f>SUM(BV21:BV25)</f>
        <v>946.3</v>
      </c>
      <c r="BW20" s="392">
        <f t="shared" ref="BW20:BY20" si="34">SUM(BW21:BW25)</f>
        <v>865</v>
      </c>
      <c r="BX20" s="392">
        <f t="shared" si="34"/>
        <v>886.4000000000002</v>
      </c>
      <c r="BY20" s="392">
        <f t="shared" si="34"/>
        <v>739.9</v>
      </c>
      <c r="BZ20" s="825">
        <f>SUM(BZ21:BZ25)</f>
        <v>3437.6</v>
      </c>
      <c r="CA20" s="392">
        <f>SUM(CA21:CA25)</f>
        <v>809.1</v>
      </c>
      <c r="CB20" s="392"/>
      <c r="CC20" s="392"/>
      <c r="CD20" s="392"/>
      <c r="CE20" s="825">
        <f>SUM(CE21:CE25)</f>
        <v>809.1</v>
      </c>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c r="IW20" s="11"/>
      <c r="IX20" s="11"/>
      <c r="IY20" s="11"/>
      <c r="IZ20" s="11"/>
      <c r="JA20" s="11"/>
      <c r="JB20" s="11"/>
      <c r="JC20" s="11"/>
      <c r="JD20" s="11"/>
      <c r="JE20" s="11"/>
      <c r="JF20" s="11"/>
      <c r="JG20" s="11"/>
      <c r="JH20" s="11"/>
      <c r="JI20" s="11"/>
      <c r="JJ20" s="11"/>
      <c r="JK20" s="11"/>
      <c r="JL20" s="11"/>
      <c r="JM20" s="11"/>
      <c r="JN20" s="11"/>
      <c r="JO20" s="11"/>
      <c r="JP20" s="11"/>
      <c r="JQ20" s="11"/>
      <c r="JR20" s="11"/>
      <c r="JS20" s="11"/>
      <c r="JT20" s="11"/>
      <c r="JU20" s="11"/>
      <c r="JV20" s="11"/>
      <c r="JW20" s="11"/>
      <c r="JX20" s="11"/>
      <c r="JY20" s="11"/>
      <c r="JZ20" s="11"/>
      <c r="KA20" s="11"/>
      <c r="KB20" s="11"/>
      <c r="KC20" s="11"/>
      <c r="KD20" s="11"/>
      <c r="KE20" s="11"/>
      <c r="KF20" s="11"/>
      <c r="KG20" s="11"/>
      <c r="KH20" s="11"/>
      <c r="KI20" s="11"/>
      <c r="KJ20" s="11"/>
      <c r="KK20" s="11"/>
      <c r="KL20" s="11"/>
      <c r="KM20" s="11"/>
      <c r="KN20" s="11"/>
      <c r="KO20" s="11"/>
      <c r="KP20" s="11"/>
      <c r="KQ20" s="11"/>
      <c r="KR20" s="11"/>
      <c r="KS20" s="11"/>
      <c r="KT20" s="11"/>
      <c r="KU20" s="11"/>
      <c r="KV20" s="11"/>
      <c r="KW20" s="11"/>
      <c r="KX20" s="11"/>
      <c r="KY20" s="11"/>
      <c r="KZ20" s="11"/>
      <c r="LA20" s="11"/>
      <c r="LB20" s="11"/>
      <c r="LC20" s="11"/>
      <c r="LD20" s="11"/>
      <c r="LE20" s="11"/>
      <c r="LF20" s="11"/>
      <c r="LG20" s="11"/>
      <c r="LH20" s="11"/>
      <c r="LI20" s="11"/>
      <c r="LJ20" s="11"/>
      <c r="LK20" s="11"/>
      <c r="LL20" s="11"/>
      <c r="LM20" s="11"/>
      <c r="LN20" s="11"/>
      <c r="LO20" s="11"/>
      <c r="LP20" s="11"/>
      <c r="LQ20" s="11"/>
      <c r="LR20" s="11"/>
      <c r="LS20" s="11"/>
      <c r="LT20" s="11"/>
      <c r="LU20" s="11"/>
      <c r="LV20" s="11"/>
      <c r="LW20" s="11"/>
      <c r="LX20" s="11"/>
      <c r="LY20" s="11"/>
      <c r="LZ20" s="11"/>
      <c r="MA20" s="11"/>
      <c r="MB20" s="11"/>
      <c r="MC20" s="11"/>
      <c r="MD20" s="11"/>
      <c r="ME20" s="11"/>
      <c r="MF20" s="11"/>
      <c r="MG20" s="11"/>
      <c r="MH20" s="11"/>
      <c r="MI20" s="11"/>
      <c r="MJ20" s="11"/>
      <c r="MK20" s="11"/>
      <c r="ML20" s="11"/>
      <c r="MM20" s="11"/>
      <c r="MN20" s="11"/>
      <c r="MO20" s="11"/>
      <c r="MP20" s="11"/>
      <c r="MQ20" s="11"/>
      <c r="MR20" s="11"/>
      <c r="MS20" s="11"/>
      <c r="MT20" s="11"/>
      <c r="MU20" s="11"/>
      <c r="MV20" s="11"/>
      <c r="MW20" s="11"/>
      <c r="MX20" s="11"/>
      <c r="MY20" s="11"/>
      <c r="MZ20" s="11"/>
      <c r="NA20" s="11"/>
      <c r="NB20" s="11"/>
      <c r="NC20" s="11"/>
      <c r="ND20" s="11"/>
      <c r="NE20" s="11"/>
      <c r="NF20" s="11"/>
      <c r="NG20" s="11"/>
      <c r="NH20" s="11"/>
      <c r="NI20" s="11"/>
      <c r="NJ20" s="11"/>
      <c r="NK20" s="11"/>
      <c r="NL20" s="11"/>
      <c r="NM20" s="11"/>
      <c r="NN20" s="11"/>
      <c r="NO20" s="11"/>
      <c r="NP20" s="11"/>
      <c r="NQ20" s="11"/>
      <c r="NR20" s="11"/>
      <c r="NS20" s="11"/>
      <c r="NT20" s="11"/>
      <c r="NU20" s="11"/>
      <c r="NV20" s="11"/>
      <c r="NW20" s="11"/>
      <c r="NX20" s="11"/>
      <c r="NY20" s="11"/>
      <c r="NZ20" s="11"/>
      <c r="OA20" s="11"/>
      <c r="OB20" s="11"/>
      <c r="OC20" s="11"/>
      <c r="OD20" s="11"/>
      <c r="OE20" s="11"/>
      <c r="OF20" s="11"/>
      <c r="OG20" s="11"/>
      <c r="OH20" s="11"/>
      <c r="OI20" s="11"/>
      <c r="OJ20" s="11"/>
      <c r="OK20" s="11"/>
      <c r="OL20" s="11"/>
      <c r="OM20" s="11"/>
      <c r="ON20" s="11"/>
      <c r="OO20" s="11"/>
      <c r="OP20" s="11"/>
      <c r="OQ20" s="11"/>
      <c r="OR20" s="11"/>
      <c r="OS20" s="11"/>
      <c r="OT20" s="11"/>
      <c r="OU20" s="11"/>
      <c r="OV20" s="11"/>
      <c r="OW20" s="11"/>
      <c r="OX20" s="11"/>
      <c r="OY20" s="11"/>
      <c r="OZ20" s="11"/>
      <c r="PA20" s="11"/>
      <c r="PB20" s="11"/>
      <c r="PC20" s="11"/>
      <c r="PD20" s="11"/>
      <c r="PE20" s="11"/>
      <c r="PF20" s="11"/>
      <c r="PG20" s="11"/>
      <c r="PH20" s="11"/>
      <c r="PI20" s="11"/>
      <c r="PJ20" s="11"/>
      <c r="PK20" s="11"/>
      <c r="PL20" s="11"/>
      <c r="PM20" s="11"/>
      <c r="PN20" s="11"/>
      <c r="PO20" s="11"/>
      <c r="PP20" s="11"/>
      <c r="PQ20" s="11"/>
      <c r="PR20" s="11"/>
      <c r="PS20" s="11"/>
      <c r="PT20" s="11"/>
      <c r="PU20" s="11"/>
      <c r="PV20" s="11"/>
      <c r="PW20" s="11"/>
      <c r="PX20" s="11"/>
      <c r="PY20" s="11"/>
      <c r="PZ20" s="11"/>
      <c r="QA20" s="11"/>
      <c r="QB20" s="11"/>
      <c r="QC20" s="11"/>
      <c r="QD20" s="11"/>
      <c r="QE20" s="11"/>
      <c r="QF20" s="11"/>
      <c r="QG20" s="11"/>
      <c r="QH20" s="11"/>
      <c r="QI20" s="11"/>
      <c r="QJ20" s="11"/>
      <c r="QK20" s="11"/>
      <c r="QL20" s="11"/>
      <c r="QM20" s="11"/>
      <c r="QN20" s="11"/>
      <c r="QO20" s="11"/>
      <c r="QP20" s="11"/>
      <c r="QQ20" s="11"/>
      <c r="QR20" s="11"/>
      <c r="QS20" s="11"/>
      <c r="QT20" s="11"/>
      <c r="QU20" s="11"/>
      <c r="QV20" s="11"/>
      <c r="QW20" s="11"/>
      <c r="QX20" s="11"/>
      <c r="QY20" s="11"/>
      <c r="QZ20" s="11"/>
      <c r="RA20" s="11"/>
      <c r="RB20" s="11"/>
      <c r="RC20" s="11"/>
      <c r="RD20" s="11"/>
      <c r="RE20" s="11"/>
      <c r="RF20" s="11"/>
      <c r="RG20" s="11"/>
      <c r="RH20" s="11"/>
      <c r="RI20" s="11"/>
      <c r="RJ20" s="11"/>
      <c r="RK20" s="11"/>
      <c r="RL20" s="11"/>
      <c r="RM20" s="11"/>
      <c r="RN20" s="11"/>
      <c r="RO20" s="11"/>
      <c r="RP20" s="11"/>
      <c r="RQ20" s="11"/>
      <c r="RR20" s="11"/>
      <c r="RS20" s="11"/>
      <c r="RT20" s="11"/>
      <c r="RU20" s="11"/>
      <c r="RV20" s="11"/>
      <c r="RW20" s="11"/>
      <c r="RX20" s="11"/>
    </row>
    <row r="21" spans="1:492" s="477" customFormat="1" ht="20.149999999999999" customHeight="1">
      <c r="A21" s="489" t="s">
        <v>456</v>
      </c>
      <c r="B21" s="510" t="s">
        <v>457</v>
      </c>
      <c r="C21" s="474"/>
      <c r="D21" s="474"/>
      <c r="E21" s="474"/>
      <c r="F21" s="474"/>
      <c r="G21" s="474"/>
      <c r="H21" s="474"/>
      <c r="I21" s="474"/>
      <c r="J21" s="474"/>
      <c r="K21" s="474"/>
      <c r="L21" s="474"/>
      <c r="M21" s="474"/>
      <c r="N21" s="474"/>
      <c r="O21" s="474"/>
      <c r="P21" s="474"/>
      <c r="Q21" s="474"/>
      <c r="R21" s="474"/>
      <c r="S21" s="474"/>
      <c r="T21" s="474"/>
      <c r="U21" s="474"/>
      <c r="V21" s="474"/>
      <c r="W21" s="474"/>
      <c r="X21" s="474"/>
      <c r="Y21" s="474"/>
      <c r="Z21" s="474"/>
      <c r="AA21" s="474"/>
      <c r="AB21" s="474"/>
      <c r="AC21" s="474"/>
      <c r="AD21" s="474"/>
      <c r="AE21" s="474"/>
      <c r="AF21" s="474"/>
      <c r="AG21" s="474"/>
      <c r="AH21" s="474"/>
      <c r="AI21" s="474"/>
      <c r="AJ21" s="474"/>
      <c r="AK21" s="474"/>
      <c r="AL21" s="474"/>
      <c r="AM21" s="499">
        <v>755</v>
      </c>
      <c r="AN21" s="475">
        <v>795.2</v>
      </c>
      <c r="AO21" s="475">
        <v>825.7</v>
      </c>
      <c r="AP21" s="475">
        <v>769</v>
      </c>
      <c r="AQ21" s="500">
        <f>SUM(AM21:AP21)</f>
        <v>3144.9</v>
      </c>
      <c r="AR21" s="475"/>
      <c r="AS21" s="475"/>
      <c r="AT21" s="475"/>
      <c r="AU21" s="475"/>
      <c r="AV21" s="470"/>
      <c r="AW21" s="475">
        <v>892.6</v>
      </c>
      <c r="AX21" s="475">
        <v>914.49999999999989</v>
      </c>
      <c r="AY21" s="475">
        <v>925.59999999999991</v>
      </c>
      <c r="AZ21" s="475">
        <v>867.10000000000036</v>
      </c>
      <c r="BA21" s="478">
        <f>SUM(AW21:AZ21)</f>
        <v>3599.8</v>
      </c>
      <c r="BB21" s="499">
        <v>879.6</v>
      </c>
      <c r="BC21" s="475">
        <v>841.4</v>
      </c>
      <c r="BD21" s="475">
        <v>943.80000000000018</v>
      </c>
      <c r="BE21" s="475">
        <v>925</v>
      </c>
      <c r="BF21" s="500">
        <f>SUM(BB21:BE21)</f>
        <v>3589.8</v>
      </c>
      <c r="BG21" s="475">
        <v>936.6</v>
      </c>
      <c r="BH21" s="475">
        <v>951.80000000000007</v>
      </c>
      <c r="BI21" s="475">
        <v>4477.0999999999995</v>
      </c>
      <c r="BJ21" s="475">
        <f>7070.3-SUM(BG21:BI21)</f>
        <v>704.80000000000018</v>
      </c>
      <c r="BK21" s="500">
        <f>SUM(BG21:BJ21)</f>
        <v>7070.3</v>
      </c>
      <c r="BL21" s="475">
        <v>671.1</v>
      </c>
      <c r="BM21" s="469">
        <f>1420.5-BL21</f>
        <v>749.4</v>
      </c>
      <c r="BN21" s="475">
        <f>2292.1-BM21-BL21</f>
        <v>871.5999999999998</v>
      </c>
      <c r="BO21" s="475">
        <f>2914.4-BN21-BM21-BL21</f>
        <v>622.30000000000007</v>
      </c>
      <c r="BP21" s="500">
        <f>SUM(BL21:BO21)</f>
        <v>2914.4</v>
      </c>
      <c r="BQ21" s="475">
        <v>663.2</v>
      </c>
      <c r="BR21" s="469">
        <v>635</v>
      </c>
      <c r="BS21" s="475">
        <v>878.39999999999986</v>
      </c>
      <c r="BT21" s="475">
        <v>536.20000000000005</v>
      </c>
      <c r="BU21" s="823">
        <f>SUM(BQ21:BT21)</f>
        <v>2712.8</v>
      </c>
      <c r="BV21" s="775">
        <v>777.8</v>
      </c>
      <c r="BW21" s="469">
        <v>646.29999999999995</v>
      </c>
      <c r="BX21" s="475">
        <v>649.80000000000018</v>
      </c>
      <c r="BY21" s="475">
        <v>486.09999999999991</v>
      </c>
      <c r="BZ21" s="823">
        <f>SUM(BV21:BY21)</f>
        <v>2560</v>
      </c>
      <c r="CA21" s="775">
        <v>607.70000000000005</v>
      </c>
      <c r="CB21" s="469"/>
      <c r="CC21" s="475"/>
      <c r="CD21" s="475"/>
      <c r="CE21" s="823">
        <f>SUM(CA21:CD21)</f>
        <v>607.70000000000005</v>
      </c>
      <c r="CF21" s="476"/>
      <c r="CG21" s="476"/>
      <c r="CH21" s="476"/>
      <c r="CI21" s="476"/>
      <c r="CJ21" s="476"/>
      <c r="CK21" s="476"/>
      <c r="CL21" s="476"/>
      <c r="CM21" s="476"/>
      <c r="CN21" s="476"/>
      <c r="CO21" s="476"/>
      <c r="CP21" s="476"/>
      <c r="CQ21" s="476"/>
      <c r="CR21" s="476"/>
      <c r="CS21" s="476"/>
      <c r="CT21" s="476"/>
      <c r="CU21" s="476"/>
      <c r="CV21" s="476"/>
      <c r="CW21" s="476"/>
      <c r="CX21" s="476"/>
      <c r="CY21" s="476"/>
      <c r="CZ21" s="476"/>
      <c r="DA21" s="476"/>
      <c r="DB21" s="476"/>
      <c r="DC21" s="476"/>
      <c r="DD21" s="476"/>
      <c r="DE21" s="476"/>
      <c r="DF21" s="476"/>
      <c r="DG21" s="476"/>
      <c r="DH21" s="476"/>
      <c r="DI21" s="476"/>
      <c r="DJ21" s="476"/>
      <c r="DK21" s="476"/>
      <c r="DL21" s="476"/>
      <c r="DM21" s="476"/>
      <c r="DN21" s="476"/>
      <c r="DO21" s="476"/>
      <c r="DP21" s="476"/>
      <c r="DQ21" s="476"/>
      <c r="DR21" s="476"/>
      <c r="DS21" s="476"/>
      <c r="DT21" s="476"/>
      <c r="DU21" s="476"/>
      <c r="DV21" s="476"/>
      <c r="DW21" s="476"/>
      <c r="DX21" s="476"/>
      <c r="DY21" s="476"/>
      <c r="DZ21" s="476"/>
      <c r="EA21" s="476"/>
      <c r="EB21" s="476"/>
      <c r="EC21" s="476"/>
      <c r="ED21" s="476"/>
      <c r="EE21" s="476"/>
      <c r="EF21" s="476"/>
      <c r="EG21" s="476"/>
      <c r="EH21" s="476"/>
      <c r="EI21" s="476"/>
      <c r="EJ21" s="476"/>
      <c r="EK21" s="476"/>
      <c r="EL21" s="476"/>
      <c r="EM21" s="476"/>
      <c r="EN21" s="476"/>
      <c r="EO21" s="476"/>
      <c r="EP21" s="476"/>
      <c r="EQ21" s="476"/>
      <c r="ER21" s="476"/>
      <c r="ES21" s="476"/>
      <c r="ET21" s="476"/>
      <c r="EU21" s="476"/>
      <c r="EV21" s="476"/>
      <c r="EW21" s="476"/>
      <c r="EX21" s="476"/>
      <c r="EY21" s="476"/>
      <c r="EZ21" s="476"/>
      <c r="FA21" s="476"/>
      <c r="FB21" s="476"/>
      <c r="FC21" s="476"/>
      <c r="FD21" s="476"/>
      <c r="FE21" s="476"/>
      <c r="FF21" s="476"/>
      <c r="FG21" s="476"/>
      <c r="FH21" s="476"/>
      <c r="FI21" s="476"/>
      <c r="FJ21" s="476"/>
      <c r="FK21" s="476"/>
      <c r="FL21" s="476"/>
      <c r="FM21" s="476"/>
      <c r="FN21" s="476"/>
      <c r="FO21" s="476"/>
      <c r="FP21" s="476"/>
      <c r="FQ21" s="476"/>
      <c r="FR21" s="476"/>
      <c r="FS21" s="476"/>
      <c r="FT21" s="476"/>
      <c r="FU21" s="476"/>
      <c r="FV21" s="476"/>
      <c r="FW21" s="476"/>
      <c r="FX21" s="476"/>
      <c r="FY21" s="476"/>
      <c r="FZ21" s="476"/>
      <c r="GA21" s="476"/>
      <c r="GB21" s="476"/>
      <c r="GC21" s="476"/>
      <c r="GD21" s="476"/>
      <c r="GE21" s="476"/>
      <c r="GF21" s="476"/>
      <c r="GG21" s="476"/>
      <c r="GH21" s="476"/>
      <c r="GI21" s="476"/>
      <c r="GJ21" s="476"/>
      <c r="GK21" s="476"/>
      <c r="GL21" s="476"/>
      <c r="GM21" s="476"/>
      <c r="GN21" s="476"/>
      <c r="GO21" s="476"/>
      <c r="GP21" s="476"/>
      <c r="GQ21" s="476"/>
      <c r="GR21" s="476"/>
      <c r="GS21" s="476"/>
      <c r="GT21" s="476"/>
      <c r="GU21" s="476"/>
      <c r="GV21" s="476"/>
      <c r="GW21" s="476"/>
      <c r="GX21" s="476"/>
      <c r="GY21" s="476"/>
      <c r="GZ21" s="476"/>
      <c r="HA21" s="476"/>
      <c r="HB21" s="476"/>
      <c r="HC21" s="476"/>
      <c r="HD21" s="476"/>
      <c r="HE21" s="476"/>
      <c r="HF21" s="476"/>
      <c r="HG21" s="476"/>
      <c r="HH21" s="476"/>
      <c r="HI21" s="476"/>
      <c r="HJ21" s="476"/>
      <c r="HK21" s="476"/>
      <c r="HL21" s="476"/>
      <c r="HM21" s="476"/>
      <c r="HN21" s="476"/>
      <c r="HO21" s="476"/>
      <c r="HP21" s="476"/>
      <c r="HQ21" s="476"/>
      <c r="HR21" s="476"/>
      <c r="HS21" s="476"/>
      <c r="HT21" s="476"/>
      <c r="HU21" s="476"/>
      <c r="HV21" s="476"/>
      <c r="HW21" s="476"/>
      <c r="HX21" s="476"/>
      <c r="HY21" s="476"/>
      <c r="HZ21" s="476"/>
      <c r="IA21" s="476"/>
      <c r="IB21" s="476"/>
      <c r="IC21" s="476"/>
      <c r="ID21" s="476"/>
      <c r="IE21" s="476"/>
      <c r="IF21" s="476"/>
      <c r="IG21" s="476"/>
      <c r="IH21" s="476"/>
      <c r="II21" s="476"/>
      <c r="IJ21" s="476"/>
      <c r="IK21" s="476"/>
      <c r="IL21" s="476"/>
      <c r="IM21" s="476"/>
      <c r="IN21" s="476"/>
      <c r="IO21" s="476"/>
      <c r="IP21" s="476"/>
      <c r="IQ21" s="476"/>
      <c r="IR21" s="476"/>
      <c r="IS21" s="476"/>
      <c r="IT21" s="476"/>
      <c r="IU21" s="476"/>
      <c r="IV21" s="476"/>
      <c r="IW21" s="476"/>
      <c r="IX21" s="476"/>
      <c r="IY21" s="476"/>
      <c r="IZ21" s="476"/>
      <c r="JA21" s="476"/>
      <c r="JB21" s="476"/>
      <c r="JC21" s="476"/>
      <c r="JD21" s="476"/>
      <c r="JE21" s="476"/>
      <c r="JF21" s="476"/>
      <c r="JG21" s="476"/>
      <c r="JH21" s="476"/>
      <c r="JI21" s="476"/>
      <c r="JJ21" s="476"/>
      <c r="JK21" s="476"/>
      <c r="JL21" s="476"/>
      <c r="JM21" s="476"/>
      <c r="JN21" s="476"/>
      <c r="JO21" s="476"/>
      <c r="JP21" s="476"/>
      <c r="JQ21" s="476"/>
      <c r="JR21" s="476"/>
      <c r="JS21" s="476"/>
      <c r="JT21" s="476"/>
      <c r="JU21" s="476"/>
      <c r="JV21" s="476"/>
      <c r="JW21" s="476"/>
      <c r="JX21" s="476"/>
      <c r="JY21" s="476"/>
      <c r="JZ21" s="476"/>
      <c r="KA21" s="476"/>
      <c r="KB21" s="476"/>
      <c r="KC21" s="476"/>
      <c r="KD21" s="476"/>
      <c r="KE21" s="476"/>
      <c r="KF21" s="476"/>
      <c r="KG21" s="476"/>
      <c r="KH21" s="476"/>
      <c r="KI21" s="476"/>
      <c r="KJ21" s="476"/>
      <c r="KK21" s="476"/>
      <c r="KL21" s="476"/>
      <c r="KM21" s="476"/>
      <c r="KN21" s="476"/>
      <c r="KO21" s="476"/>
      <c r="KP21" s="476"/>
      <c r="KQ21" s="476"/>
      <c r="KR21" s="476"/>
      <c r="KS21" s="476"/>
      <c r="KT21" s="476"/>
      <c r="KU21" s="476"/>
      <c r="KV21" s="476"/>
      <c r="KW21" s="476"/>
      <c r="KX21" s="476"/>
      <c r="KY21" s="476"/>
      <c r="KZ21" s="476"/>
      <c r="LA21" s="476"/>
      <c r="LB21" s="476"/>
      <c r="LC21" s="476"/>
      <c r="LD21" s="476"/>
      <c r="LE21" s="476"/>
      <c r="LF21" s="476"/>
      <c r="LG21" s="476"/>
      <c r="LH21" s="476"/>
      <c r="LI21" s="476"/>
      <c r="LJ21" s="476"/>
      <c r="LK21" s="476"/>
      <c r="LL21" s="476"/>
      <c r="LM21" s="476"/>
      <c r="LN21" s="476"/>
      <c r="LO21" s="476"/>
      <c r="LP21" s="476"/>
      <c r="LQ21" s="476"/>
      <c r="LR21" s="476"/>
      <c r="LS21" s="476"/>
      <c r="LT21" s="476"/>
      <c r="LU21" s="476"/>
      <c r="LV21" s="476"/>
      <c r="LW21" s="476"/>
      <c r="LX21" s="476"/>
      <c r="LY21" s="476"/>
      <c r="LZ21" s="476"/>
      <c r="MA21" s="476"/>
      <c r="MB21" s="476"/>
      <c r="MC21" s="476"/>
      <c r="MD21" s="476"/>
      <c r="ME21" s="476"/>
      <c r="MF21" s="476"/>
      <c r="MG21" s="476"/>
      <c r="MH21" s="476"/>
      <c r="MI21" s="476"/>
      <c r="MJ21" s="476"/>
      <c r="MK21" s="476"/>
      <c r="ML21" s="476"/>
      <c r="MM21" s="476"/>
      <c r="MN21" s="476"/>
      <c r="MO21" s="476"/>
      <c r="MP21" s="476"/>
      <c r="MQ21" s="476"/>
      <c r="MR21" s="476"/>
      <c r="MS21" s="476"/>
      <c r="MT21" s="476"/>
      <c r="MU21" s="476"/>
      <c r="MV21" s="476"/>
      <c r="MW21" s="476"/>
      <c r="MX21" s="476"/>
      <c r="MY21" s="476"/>
      <c r="MZ21" s="476"/>
      <c r="NA21" s="476"/>
      <c r="NB21" s="476"/>
      <c r="NC21" s="476"/>
      <c r="ND21" s="476"/>
      <c r="NE21" s="476"/>
      <c r="NF21" s="476"/>
      <c r="NG21" s="476"/>
      <c r="NH21" s="476"/>
      <c r="NI21" s="476"/>
      <c r="NJ21" s="476"/>
      <c r="NK21" s="476"/>
      <c r="NL21" s="476"/>
      <c r="NM21" s="476"/>
      <c r="NN21" s="476"/>
      <c r="NO21" s="476"/>
      <c r="NP21" s="476"/>
      <c r="NQ21" s="476"/>
      <c r="NR21" s="476"/>
      <c r="NS21" s="476"/>
      <c r="NT21" s="476"/>
      <c r="NU21" s="476"/>
      <c r="NV21" s="476"/>
      <c r="NW21" s="476"/>
      <c r="NX21" s="476"/>
      <c r="NY21" s="476"/>
      <c r="NZ21" s="476"/>
      <c r="OA21" s="476"/>
      <c r="OB21" s="476"/>
      <c r="OC21" s="476"/>
      <c r="OD21" s="476"/>
      <c r="OE21" s="476"/>
      <c r="OF21" s="476"/>
      <c r="OG21" s="476"/>
      <c r="OH21" s="476"/>
      <c r="OI21" s="476"/>
      <c r="OJ21" s="476"/>
      <c r="OK21" s="476"/>
      <c r="OL21" s="476"/>
      <c r="OM21" s="476"/>
      <c r="ON21" s="476"/>
      <c r="OO21" s="476"/>
      <c r="OP21" s="476"/>
      <c r="OQ21" s="476"/>
      <c r="OR21" s="476"/>
      <c r="OS21" s="476"/>
      <c r="OT21" s="476"/>
      <c r="OU21" s="476"/>
      <c r="OV21" s="476"/>
      <c r="OW21" s="476"/>
      <c r="OX21" s="476"/>
      <c r="OY21" s="476"/>
      <c r="OZ21" s="476"/>
      <c r="PA21" s="476"/>
      <c r="PB21" s="476"/>
      <c r="PC21" s="476"/>
      <c r="PD21" s="476"/>
      <c r="PE21" s="476"/>
      <c r="PF21" s="476"/>
      <c r="PG21" s="476"/>
      <c r="PH21" s="476"/>
      <c r="PI21" s="476"/>
      <c r="PJ21" s="476"/>
      <c r="PK21" s="476"/>
      <c r="PL21" s="476"/>
      <c r="PM21" s="476"/>
      <c r="PN21" s="476"/>
      <c r="PO21" s="476"/>
      <c r="PP21" s="476"/>
      <c r="PQ21" s="476"/>
      <c r="PR21" s="476"/>
      <c r="PS21" s="476"/>
      <c r="PT21" s="476"/>
      <c r="PU21" s="476"/>
      <c r="PV21" s="476"/>
      <c r="PW21" s="476"/>
      <c r="PX21" s="476"/>
      <c r="PY21" s="476"/>
      <c r="PZ21" s="476"/>
      <c r="QA21" s="476"/>
      <c r="QB21" s="476"/>
      <c r="QC21" s="476"/>
      <c r="QD21" s="476"/>
      <c r="QE21" s="476"/>
      <c r="QF21" s="476"/>
      <c r="QG21" s="476"/>
      <c r="QH21" s="476"/>
      <c r="QI21" s="476"/>
      <c r="QJ21" s="476"/>
      <c r="QK21" s="476"/>
      <c r="QL21" s="476"/>
      <c r="QM21" s="476"/>
      <c r="QN21" s="476"/>
      <c r="QO21" s="476"/>
      <c r="QP21" s="476"/>
      <c r="QQ21" s="476"/>
      <c r="QR21" s="476"/>
      <c r="QS21" s="476"/>
      <c r="QT21" s="476"/>
      <c r="QU21" s="476"/>
      <c r="QV21" s="476"/>
      <c r="QW21" s="476"/>
      <c r="QX21" s="476"/>
      <c r="QY21" s="476"/>
      <c r="QZ21" s="476"/>
      <c r="RA21" s="476"/>
      <c r="RB21" s="476"/>
      <c r="RC21" s="476"/>
      <c r="RD21" s="476"/>
      <c r="RE21" s="476"/>
      <c r="RF21" s="476"/>
      <c r="RG21" s="476"/>
      <c r="RH21" s="476"/>
      <c r="RI21" s="476"/>
      <c r="RJ21" s="476"/>
      <c r="RK21" s="476"/>
      <c r="RL21" s="476"/>
      <c r="RM21" s="476"/>
      <c r="RN21" s="476"/>
      <c r="RO21" s="476"/>
      <c r="RP21" s="476"/>
      <c r="RQ21" s="476"/>
      <c r="RR21" s="476"/>
      <c r="RS21" s="476"/>
      <c r="RT21" s="476"/>
      <c r="RU21" s="476"/>
      <c r="RV21" s="476"/>
      <c r="RW21" s="476"/>
      <c r="RX21" s="476"/>
    </row>
    <row r="22" spans="1:492" s="477" customFormat="1" ht="20.149999999999999" customHeight="1">
      <c r="A22" s="489" t="s">
        <v>458</v>
      </c>
      <c r="B22" s="510" t="s">
        <v>459</v>
      </c>
      <c r="C22" s="474"/>
      <c r="D22" s="474"/>
      <c r="E22" s="474"/>
      <c r="F22" s="474"/>
      <c r="G22" s="474"/>
      <c r="H22" s="474"/>
      <c r="I22" s="474"/>
      <c r="J22" s="474"/>
      <c r="K22" s="474"/>
      <c r="L22" s="474"/>
      <c r="M22" s="474"/>
      <c r="N22" s="474"/>
      <c r="O22" s="474"/>
      <c r="P22" s="474"/>
      <c r="Q22" s="474"/>
      <c r="R22" s="474"/>
      <c r="S22" s="474"/>
      <c r="T22" s="474"/>
      <c r="U22" s="474"/>
      <c r="V22" s="474"/>
      <c r="W22" s="474"/>
      <c r="X22" s="474"/>
      <c r="Y22" s="474"/>
      <c r="Z22" s="474"/>
      <c r="AA22" s="474"/>
      <c r="AB22" s="474"/>
      <c r="AC22" s="474"/>
      <c r="AD22" s="474"/>
      <c r="AE22" s="474"/>
      <c r="AF22" s="474"/>
      <c r="AG22" s="474"/>
      <c r="AH22" s="474"/>
      <c r="AI22" s="474"/>
      <c r="AJ22" s="474"/>
      <c r="AK22" s="474"/>
      <c r="AL22" s="474"/>
      <c r="AM22" s="499">
        <v>135</v>
      </c>
      <c r="AN22" s="475">
        <v>151.19999999999999</v>
      </c>
      <c r="AO22" s="475">
        <v>94.300000000000011</v>
      </c>
      <c r="AP22" s="475">
        <v>172.29999999999995</v>
      </c>
      <c r="AQ22" s="500">
        <f>SUM(AM22:AP22)</f>
        <v>552.79999999999995</v>
      </c>
      <c r="AR22" s="475"/>
      <c r="AS22" s="475"/>
      <c r="AT22" s="475"/>
      <c r="AU22" s="475"/>
      <c r="AV22" s="470"/>
      <c r="AW22" s="475">
        <v>145.69999999999999</v>
      </c>
      <c r="AX22" s="475">
        <v>161.60000000000002</v>
      </c>
      <c r="AY22" s="475">
        <v>94.899999999999977</v>
      </c>
      <c r="AZ22" s="475">
        <v>194.7</v>
      </c>
      <c r="BA22" s="478">
        <f>SUM(AW22:AZ22)</f>
        <v>596.9</v>
      </c>
      <c r="BB22" s="499">
        <v>147.1</v>
      </c>
      <c r="BC22" s="475">
        <v>118.6</v>
      </c>
      <c r="BD22" s="475">
        <v>135.10000000000002</v>
      </c>
      <c r="BE22" s="475">
        <v>201.3</v>
      </c>
      <c r="BF22" s="500">
        <f>SUM(BB22:BE22)</f>
        <v>602.1</v>
      </c>
      <c r="BG22" s="475">
        <v>146.1</v>
      </c>
      <c r="BH22" s="475">
        <v>189.1</v>
      </c>
      <c r="BI22" s="475">
        <v>117.9</v>
      </c>
      <c r="BJ22" s="475">
        <f>629.3-SUM(BG22:BI22)</f>
        <v>176.19999999999993</v>
      </c>
      <c r="BK22" s="500">
        <f>SUM(BG22:BJ22)</f>
        <v>629.29999999999995</v>
      </c>
      <c r="BL22" s="475">
        <v>95.5</v>
      </c>
      <c r="BM22" s="469">
        <f>237.9-BL22</f>
        <v>142.4</v>
      </c>
      <c r="BN22" s="475">
        <f>314.7-BM22-BL22</f>
        <v>76.799999999999983</v>
      </c>
      <c r="BO22" s="475">
        <f>504.9-BN22-BM22-BL22</f>
        <v>190.20000000000005</v>
      </c>
      <c r="BP22" s="500">
        <f>SUM(BL22:BO22)</f>
        <v>504.90000000000003</v>
      </c>
      <c r="BQ22" s="475">
        <v>92.5</v>
      </c>
      <c r="BR22" s="469">
        <v>156.69999999999999</v>
      </c>
      <c r="BS22" s="475">
        <v>83.100000000000023</v>
      </c>
      <c r="BT22" s="475">
        <v>139.69999999999999</v>
      </c>
      <c r="BU22" s="823">
        <f>SUM(BQ22:BT22)</f>
        <v>472</v>
      </c>
      <c r="BV22" s="475">
        <v>110.19999999999999</v>
      </c>
      <c r="BW22" s="469">
        <v>145.19999999999999</v>
      </c>
      <c r="BX22" s="475">
        <v>144.5</v>
      </c>
      <c r="BY22" s="475">
        <v>96.5</v>
      </c>
      <c r="BZ22" s="823">
        <f>SUM(BV22:BY22)</f>
        <v>496.4</v>
      </c>
      <c r="CA22" s="475">
        <v>124.5</v>
      </c>
      <c r="CB22" s="469"/>
      <c r="CC22" s="475"/>
      <c r="CD22" s="475"/>
      <c r="CE22" s="823">
        <f>SUM(CA22:CD22)</f>
        <v>124.5</v>
      </c>
      <c r="CF22" s="476"/>
      <c r="CG22" s="476"/>
      <c r="CH22" s="476"/>
      <c r="CI22" s="476"/>
      <c r="CJ22" s="476"/>
      <c r="CK22" s="476"/>
      <c r="CL22" s="476"/>
      <c r="CM22" s="476"/>
      <c r="CN22" s="476"/>
      <c r="CO22" s="476"/>
      <c r="CP22" s="476"/>
      <c r="CQ22" s="476"/>
      <c r="CR22" s="476"/>
      <c r="CS22" s="476"/>
      <c r="CT22" s="476"/>
      <c r="CU22" s="476"/>
      <c r="CV22" s="476"/>
      <c r="CW22" s="476"/>
      <c r="CX22" s="476"/>
      <c r="CY22" s="476"/>
      <c r="CZ22" s="476"/>
      <c r="DA22" s="476"/>
      <c r="DB22" s="476"/>
      <c r="DC22" s="476"/>
      <c r="DD22" s="476"/>
      <c r="DE22" s="476"/>
      <c r="DF22" s="476"/>
      <c r="DG22" s="476"/>
      <c r="DH22" s="476"/>
      <c r="DI22" s="476"/>
      <c r="DJ22" s="476"/>
      <c r="DK22" s="476"/>
      <c r="DL22" s="476"/>
      <c r="DM22" s="476"/>
      <c r="DN22" s="476"/>
      <c r="DO22" s="476"/>
      <c r="DP22" s="476"/>
      <c r="DQ22" s="476"/>
      <c r="DR22" s="476"/>
      <c r="DS22" s="476"/>
      <c r="DT22" s="476"/>
      <c r="DU22" s="476"/>
      <c r="DV22" s="476"/>
      <c r="DW22" s="476"/>
      <c r="DX22" s="476"/>
      <c r="DY22" s="476"/>
      <c r="DZ22" s="476"/>
      <c r="EA22" s="476"/>
      <c r="EB22" s="476"/>
      <c r="EC22" s="476"/>
      <c r="ED22" s="476"/>
      <c r="EE22" s="476"/>
      <c r="EF22" s="476"/>
      <c r="EG22" s="476"/>
      <c r="EH22" s="476"/>
      <c r="EI22" s="476"/>
      <c r="EJ22" s="476"/>
      <c r="EK22" s="476"/>
      <c r="EL22" s="476"/>
      <c r="EM22" s="476"/>
      <c r="EN22" s="476"/>
      <c r="EO22" s="476"/>
      <c r="EP22" s="476"/>
      <c r="EQ22" s="476"/>
      <c r="ER22" s="476"/>
      <c r="ES22" s="476"/>
      <c r="ET22" s="476"/>
      <c r="EU22" s="476"/>
      <c r="EV22" s="476"/>
      <c r="EW22" s="476"/>
      <c r="EX22" s="476"/>
      <c r="EY22" s="476"/>
      <c r="EZ22" s="476"/>
      <c r="FA22" s="476"/>
      <c r="FB22" s="476"/>
      <c r="FC22" s="476"/>
      <c r="FD22" s="476"/>
      <c r="FE22" s="476"/>
      <c r="FF22" s="476"/>
      <c r="FG22" s="476"/>
      <c r="FH22" s="476"/>
      <c r="FI22" s="476"/>
      <c r="FJ22" s="476"/>
      <c r="FK22" s="476"/>
      <c r="FL22" s="476"/>
      <c r="FM22" s="476"/>
      <c r="FN22" s="476"/>
      <c r="FO22" s="476"/>
      <c r="FP22" s="476"/>
      <c r="FQ22" s="476"/>
      <c r="FR22" s="476"/>
      <c r="FS22" s="476"/>
      <c r="FT22" s="476"/>
      <c r="FU22" s="476"/>
      <c r="FV22" s="476"/>
      <c r="FW22" s="476"/>
      <c r="FX22" s="476"/>
      <c r="FY22" s="476"/>
      <c r="FZ22" s="476"/>
      <c r="GA22" s="476"/>
      <c r="GB22" s="476"/>
      <c r="GC22" s="476"/>
      <c r="GD22" s="476"/>
      <c r="GE22" s="476"/>
      <c r="GF22" s="476"/>
      <c r="GG22" s="476"/>
      <c r="GH22" s="476"/>
      <c r="GI22" s="476"/>
      <c r="GJ22" s="476"/>
      <c r="GK22" s="476"/>
      <c r="GL22" s="476"/>
      <c r="GM22" s="476"/>
      <c r="GN22" s="476"/>
      <c r="GO22" s="476"/>
      <c r="GP22" s="476"/>
      <c r="GQ22" s="476"/>
      <c r="GR22" s="476"/>
      <c r="GS22" s="476"/>
      <c r="GT22" s="476"/>
      <c r="GU22" s="476"/>
      <c r="GV22" s="476"/>
      <c r="GW22" s="476"/>
      <c r="GX22" s="476"/>
      <c r="GY22" s="476"/>
      <c r="GZ22" s="476"/>
      <c r="HA22" s="476"/>
      <c r="HB22" s="476"/>
      <c r="HC22" s="476"/>
      <c r="HD22" s="476"/>
      <c r="HE22" s="476"/>
      <c r="HF22" s="476"/>
      <c r="HG22" s="476"/>
      <c r="HH22" s="476"/>
      <c r="HI22" s="476"/>
      <c r="HJ22" s="476"/>
      <c r="HK22" s="476"/>
      <c r="HL22" s="476"/>
      <c r="HM22" s="476"/>
      <c r="HN22" s="476"/>
      <c r="HO22" s="476"/>
      <c r="HP22" s="476"/>
      <c r="HQ22" s="476"/>
      <c r="HR22" s="476"/>
      <c r="HS22" s="476"/>
      <c r="HT22" s="476"/>
      <c r="HU22" s="476"/>
      <c r="HV22" s="476"/>
      <c r="HW22" s="476"/>
      <c r="HX22" s="476"/>
      <c r="HY22" s="476"/>
      <c r="HZ22" s="476"/>
      <c r="IA22" s="476"/>
      <c r="IB22" s="476"/>
      <c r="IC22" s="476"/>
      <c r="ID22" s="476"/>
      <c r="IE22" s="476"/>
      <c r="IF22" s="476"/>
      <c r="IG22" s="476"/>
      <c r="IH22" s="476"/>
      <c r="II22" s="476"/>
      <c r="IJ22" s="476"/>
      <c r="IK22" s="476"/>
      <c r="IL22" s="476"/>
      <c r="IM22" s="476"/>
      <c r="IN22" s="476"/>
      <c r="IO22" s="476"/>
      <c r="IP22" s="476"/>
      <c r="IQ22" s="476"/>
      <c r="IR22" s="476"/>
      <c r="IS22" s="476"/>
      <c r="IT22" s="476"/>
      <c r="IU22" s="476"/>
      <c r="IV22" s="476"/>
      <c r="IW22" s="476"/>
      <c r="IX22" s="476"/>
      <c r="IY22" s="476"/>
      <c r="IZ22" s="476"/>
      <c r="JA22" s="476"/>
      <c r="JB22" s="476"/>
      <c r="JC22" s="476"/>
      <c r="JD22" s="476"/>
      <c r="JE22" s="476"/>
      <c r="JF22" s="476"/>
      <c r="JG22" s="476"/>
      <c r="JH22" s="476"/>
      <c r="JI22" s="476"/>
      <c r="JJ22" s="476"/>
      <c r="JK22" s="476"/>
      <c r="JL22" s="476"/>
      <c r="JM22" s="476"/>
      <c r="JN22" s="476"/>
      <c r="JO22" s="476"/>
      <c r="JP22" s="476"/>
      <c r="JQ22" s="476"/>
      <c r="JR22" s="476"/>
      <c r="JS22" s="476"/>
      <c r="JT22" s="476"/>
      <c r="JU22" s="476"/>
      <c r="JV22" s="476"/>
      <c r="JW22" s="476"/>
      <c r="JX22" s="476"/>
      <c r="JY22" s="476"/>
      <c r="JZ22" s="476"/>
      <c r="KA22" s="476"/>
      <c r="KB22" s="476"/>
      <c r="KC22" s="476"/>
      <c r="KD22" s="476"/>
      <c r="KE22" s="476"/>
      <c r="KF22" s="476"/>
      <c r="KG22" s="476"/>
      <c r="KH22" s="476"/>
      <c r="KI22" s="476"/>
      <c r="KJ22" s="476"/>
      <c r="KK22" s="476"/>
      <c r="KL22" s="476"/>
      <c r="KM22" s="476"/>
      <c r="KN22" s="476"/>
      <c r="KO22" s="476"/>
      <c r="KP22" s="476"/>
      <c r="KQ22" s="476"/>
      <c r="KR22" s="476"/>
      <c r="KS22" s="476"/>
      <c r="KT22" s="476"/>
      <c r="KU22" s="476"/>
      <c r="KV22" s="476"/>
      <c r="KW22" s="476"/>
      <c r="KX22" s="476"/>
      <c r="KY22" s="476"/>
      <c r="KZ22" s="476"/>
      <c r="LA22" s="476"/>
      <c r="LB22" s="476"/>
      <c r="LC22" s="476"/>
      <c r="LD22" s="476"/>
      <c r="LE22" s="476"/>
      <c r="LF22" s="476"/>
      <c r="LG22" s="476"/>
      <c r="LH22" s="476"/>
      <c r="LI22" s="476"/>
      <c r="LJ22" s="476"/>
      <c r="LK22" s="476"/>
      <c r="LL22" s="476"/>
      <c r="LM22" s="476"/>
      <c r="LN22" s="476"/>
      <c r="LO22" s="476"/>
      <c r="LP22" s="476"/>
      <c r="LQ22" s="476"/>
      <c r="LR22" s="476"/>
      <c r="LS22" s="476"/>
      <c r="LT22" s="476"/>
      <c r="LU22" s="476"/>
      <c r="LV22" s="476"/>
      <c r="LW22" s="476"/>
      <c r="LX22" s="476"/>
      <c r="LY22" s="476"/>
      <c r="LZ22" s="476"/>
      <c r="MA22" s="476"/>
      <c r="MB22" s="476"/>
      <c r="MC22" s="476"/>
      <c r="MD22" s="476"/>
      <c r="ME22" s="476"/>
      <c r="MF22" s="476"/>
      <c r="MG22" s="476"/>
      <c r="MH22" s="476"/>
      <c r="MI22" s="476"/>
      <c r="MJ22" s="476"/>
      <c r="MK22" s="476"/>
      <c r="ML22" s="476"/>
      <c r="MM22" s="476"/>
      <c r="MN22" s="476"/>
      <c r="MO22" s="476"/>
      <c r="MP22" s="476"/>
      <c r="MQ22" s="476"/>
      <c r="MR22" s="476"/>
      <c r="MS22" s="476"/>
      <c r="MT22" s="476"/>
      <c r="MU22" s="476"/>
      <c r="MV22" s="476"/>
      <c r="MW22" s="476"/>
      <c r="MX22" s="476"/>
      <c r="MY22" s="476"/>
      <c r="MZ22" s="476"/>
      <c r="NA22" s="476"/>
      <c r="NB22" s="476"/>
      <c r="NC22" s="476"/>
      <c r="ND22" s="476"/>
      <c r="NE22" s="476"/>
      <c r="NF22" s="476"/>
      <c r="NG22" s="476"/>
      <c r="NH22" s="476"/>
      <c r="NI22" s="476"/>
      <c r="NJ22" s="476"/>
      <c r="NK22" s="476"/>
      <c r="NL22" s="476"/>
      <c r="NM22" s="476"/>
      <c r="NN22" s="476"/>
      <c r="NO22" s="476"/>
      <c r="NP22" s="476"/>
      <c r="NQ22" s="476"/>
      <c r="NR22" s="476"/>
      <c r="NS22" s="476"/>
      <c r="NT22" s="476"/>
      <c r="NU22" s="476"/>
      <c r="NV22" s="476"/>
      <c r="NW22" s="476"/>
      <c r="NX22" s="476"/>
      <c r="NY22" s="476"/>
      <c r="NZ22" s="476"/>
      <c r="OA22" s="476"/>
      <c r="OB22" s="476"/>
      <c r="OC22" s="476"/>
      <c r="OD22" s="476"/>
      <c r="OE22" s="476"/>
      <c r="OF22" s="476"/>
      <c r="OG22" s="476"/>
      <c r="OH22" s="476"/>
      <c r="OI22" s="476"/>
      <c r="OJ22" s="476"/>
      <c r="OK22" s="476"/>
      <c r="OL22" s="476"/>
      <c r="OM22" s="476"/>
      <c r="ON22" s="476"/>
      <c r="OO22" s="476"/>
      <c r="OP22" s="476"/>
      <c r="OQ22" s="476"/>
      <c r="OR22" s="476"/>
      <c r="OS22" s="476"/>
      <c r="OT22" s="476"/>
      <c r="OU22" s="476"/>
      <c r="OV22" s="476"/>
      <c r="OW22" s="476"/>
      <c r="OX22" s="476"/>
      <c r="OY22" s="476"/>
      <c r="OZ22" s="476"/>
      <c r="PA22" s="476"/>
      <c r="PB22" s="476"/>
      <c r="PC22" s="476"/>
      <c r="PD22" s="476"/>
      <c r="PE22" s="476"/>
      <c r="PF22" s="476"/>
      <c r="PG22" s="476"/>
      <c r="PH22" s="476"/>
      <c r="PI22" s="476"/>
      <c r="PJ22" s="476"/>
      <c r="PK22" s="476"/>
      <c r="PL22" s="476"/>
      <c r="PM22" s="476"/>
      <c r="PN22" s="476"/>
      <c r="PO22" s="476"/>
      <c r="PP22" s="476"/>
      <c r="PQ22" s="476"/>
      <c r="PR22" s="476"/>
      <c r="PS22" s="476"/>
      <c r="PT22" s="476"/>
      <c r="PU22" s="476"/>
      <c r="PV22" s="476"/>
      <c r="PW22" s="476"/>
      <c r="PX22" s="476"/>
      <c r="PY22" s="476"/>
      <c r="PZ22" s="476"/>
      <c r="QA22" s="476"/>
      <c r="QB22" s="476"/>
      <c r="QC22" s="476"/>
      <c r="QD22" s="476"/>
      <c r="QE22" s="476"/>
      <c r="QF22" s="476"/>
      <c r="QG22" s="476"/>
      <c r="QH22" s="476"/>
      <c r="QI22" s="476"/>
      <c r="QJ22" s="476"/>
      <c r="QK22" s="476"/>
      <c r="QL22" s="476"/>
      <c r="QM22" s="476"/>
      <c r="QN22" s="476"/>
      <c r="QO22" s="476"/>
      <c r="QP22" s="476"/>
      <c r="QQ22" s="476"/>
      <c r="QR22" s="476"/>
      <c r="QS22" s="476"/>
      <c r="QT22" s="476"/>
      <c r="QU22" s="476"/>
      <c r="QV22" s="476"/>
      <c r="QW22" s="476"/>
      <c r="QX22" s="476"/>
      <c r="QY22" s="476"/>
      <c r="QZ22" s="476"/>
      <c r="RA22" s="476"/>
      <c r="RB22" s="476"/>
      <c r="RC22" s="476"/>
      <c r="RD22" s="476"/>
      <c r="RE22" s="476"/>
      <c r="RF22" s="476"/>
      <c r="RG22" s="476"/>
      <c r="RH22" s="476"/>
      <c r="RI22" s="476"/>
      <c r="RJ22" s="476"/>
      <c r="RK22" s="476"/>
      <c r="RL22" s="476"/>
      <c r="RM22" s="476"/>
      <c r="RN22" s="476"/>
      <c r="RO22" s="476"/>
      <c r="RP22" s="476"/>
      <c r="RQ22" s="476"/>
      <c r="RR22" s="476"/>
      <c r="RS22" s="476"/>
      <c r="RT22" s="476"/>
      <c r="RU22" s="476"/>
      <c r="RV22" s="476"/>
      <c r="RW22" s="476"/>
      <c r="RX22" s="476"/>
    </row>
    <row r="23" spans="1:492" s="477" customFormat="1" ht="20.149999999999999" customHeight="1">
      <c r="A23" s="489" t="s">
        <v>468</v>
      </c>
      <c r="B23" s="510" t="s">
        <v>461</v>
      </c>
      <c r="C23" s="474"/>
      <c r="D23" s="474"/>
      <c r="E23" s="474"/>
      <c r="F23" s="474"/>
      <c r="G23" s="474"/>
      <c r="H23" s="474"/>
      <c r="I23" s="474"/>
      <c r="J23" s="474"/>
      <c r="K23" s="474"/>
      <c r="L23" s="474"/>
      <c r="M23" s="474"/>
      <c r="N23" s="474"/>
      <c r="O23" s="474"/>
      <c r="P23" s="474"/>
      <c r="Q23" s="474"/>
      <c r="R23" s="474"/>
      <c r="S23" s="474"/>
      <c r="T23" s="474"/>
      <c r="U23" s="474"/>
      <c r="V23" s="474"/>
      <c r="W23" s="474"/>
      <c r="X23" s="474"/>
      <c r="Y23" s="474"/>
      <c r="Z23" s="474"/>
      <c r="AA23" s="474"/>
      <c r="AB23" s="474"/>
      <c r="AC23" s="474"/>
      <c r="AD23" s="474"/>
      <c r="AE23" s="474"/>
      <c r="AF23" s="474"/>
      <c r="AG23" s="474"/>
      <c r="AH23" s="474"/>
      <c r="AI23" s="474"/>
      <c r="AJ23" s="474"/>
      <c r="AK23" s="474"/>
      <c r="AL23" s="474"/>
      <c r="AM23" s="499"/>
      <c r="AN23" s="475"/>
      <c r="AO23" s="475"/>
      <c r="AP23" s="475"/>
      <c r="AQ23" s="500"/>
      <c r="AR23" s="475"/>
      <c r="AS23" s="475"/>
      <c r="AT23" s="475"/>
      <c r="AU23" s="475"/>
      <c r="AV23" s="470"/>
      <c r="AW23" s="475"/>
      <c r="AX23" s="475"/>
      <c r="AY23" s="475"/>
      <c r="AZ23" s="475"/>
      <c r="BA23" s="478"/>
      <c r="BB23" s="499"/>
      <c r="BC23" s="475"/>
      <c r="BD23" s="475"/>
      <c r="BE23" s="475"/>
      <c r="BF23" s="500"/>
      <c r="BG23" s="475"/>
      <c r="BH23" s="475"/>
      <c r="BI23" s="475"/>
      <c r="BJ23" s="475"/>
      <c r="BK23" s="500"/>
      <c r="BL23" s="475"/>
      <c r="BM23" s="469">
        <v>3.7</v>
      </c>
      <c r="BN23" s="475">
        <f>14-BM23-BL23</f>
        <v>10.3</v>
      </c>
      <c r="BO23" s="475">
        <f>57-BN23-BM23</f>
        <v>43</v>
      </c>
      <c r="BP23" s="500">
        <f>SUM(BL23:BO23)</f>
        <v>57</v>
      </c>
      <c r="BQ23" s="475">
        <v>7</v>
      </c>
      <c r="BR23" s="469">
        <v>6</v>
      </c>
      <c r="BS23" s="475">
        <v>8.6999999999999993</v>
      </c>
      <c r="BT23" s="475">
        <v>5.3</v>
      </c>
      <c r="BU23" s="823">
        <f>SUM(BQ23:BT23)</f>
        <v>27</v>
      </c>
      <c r="BV23" s="475">
        <v>9</v>
      </c>
      <c r="BW23" s="469">
        <v>2.0999999999999996</v>
      </c>
      <c r="BX23" s="475">
        <v>9.9</v>
      </c>
      <c r="BY23" s="475">
        <v>78.2</v>
      </c>
      <c r="BZ23" s="823">
        <f>SUM(BV23:BY23)</f>
        <v>99.2</v>
      </c>
      <c r="CA23" s="475">
        <v>19.8</v>
      </c>
      <c r="CB23" s="469"/>
      <c r="CC23" s="475"/>
      <c r="CD23" s="475"/>
      <c r="CE23" s="823">
        <f>SUM(CA23:CD23)</f>
        <v>19.8</v>
      </c>
      <c r="CF23" s="476"/>
      <c r="CG23" s="476"/>
      <c r="CH23" s="476"/>
      <c r="CI23" s="476"/>
      <c r="CJ23" s="476"/>
      <c r="CK23" s="476"/>
      <c r="CL23" s="476"/>
      <c r="CM23" s="476"/>
      <c r="CN23" s="476"/>
      <c r="CO23" s="476"/>
      <c r="CP23" s="476"/>
      <c r="CQ23" s="476"/>
      <c r="CR23" s="476"/>
      <c r="CS23" s="476"/>
      <c r="CT23" s="476"/>
      <c r="CU23" s="476"/>
      <c r="CV23" s="476"/>
      <c r="CW23" s="476"/>
      <c r="CX23" s="476"/>
      <c r="CY23" s="476"/>
      <c r="CZ23" s="476"/>
      <c r="DA23" s="476"/>
      <c r="DB23" s="476"/>
      <c r="DC23" s="476"/>
      <c r="DD23" s="476"/>
      <c r="DE23" s="476"/>
      <c r="DF23" s="476"/>
      <c r="DG23" s="476"/>
      <c r="DH23" s="476"/>
      <c r="DI23" s="476"/>
      <c r="DJ23" s="476"/>
      <c r="DK23" s="476"/>
      <c r="DL23" s="476"/>
      <c r="DM23" s="476"/>
      <c r="DN23" s="476"/>
      <c r="DO23" s="476"/>
      <c r="DP23" s="476"/>
      <c r="DQ23" s="476"/>
      <c r="DR23" s="476"/>
      <c r="DS23" s="476"/>
      <c r="DT23" s="476"/>
      <c r="DU23" s="476"/>
      <c r="DV23" s="476"/>
      <c r="DW23" s="476"/>
      <c r="DX23" s="476"/>
      <c r="DY23" s="476"/>
      <c r="DZ23" s="476"/>
      <c r="EA23" s="476"/>
      <c r="EB23" s="476"/>
      <c r="EC23" s="476"/>
      <c r="ED23" s="476"/>
      <c r="EE23" s="476"/>
      <c r="EF23" s="476"/>
      <c r="EG23" s="476"/>
      <c r="EH23" s="476"/>
      <c r="EI23" s="476"/>
      <c r="EJ23" s="476"/>
      <c r="EK23" s="476"/>
      <c r="EL23" s="476"/>
      <c r="EM23" s="476"/>
      <c r="EN23" s="476"/>
      <c r="EO23" s="476"/>
      <c r="EP23" s="476"/>
      <c r="EQ23" s="476"/>
      <c r="ER23" s="476"/>
      <c r="ES23" s="476"/>
      <c r="ET23" s="476"/>
      <c r="EU23" s="476"/>
      <c r="EV23" s="476"/>
      <c r="EW23" s="476"/>
      <c r="EX23" s="476"/>
      <c r="EY23" s="476"/>
      <c r="EZ23" s="476"/>
      <c r="FA23" s="476"/>
      <c r="FB23" s="476"/>
      <c r="FC23" s="476"/>
      <c r="FD23" s="476"/>
      <c r="FE23" s="476"/>
      <c r="FF23" s="476"/>
      <c r="FG23" s="476"/>
      <c r="FH23" s="476"/>
      <c r="FI23" s="476"/>
      <c r="FJ23" s="476"/>
      <c r="FK23" s="476"/>
      <c r="FL23" s="476"/>
      <c r="FM23" s="476"/>
      <c r="FN23" s="476"/>
      <c r="FO23" s="476"/>
      <c r="FP23" s="476"/>
      <c r="FQ23" s="476"/>
      <c r="FR23" s="476"/>
      <c r="FS23" s="476"/>
      <c r="FT23" s="476"/>
      <c r="FU23" s="476"/>
      <c r="FV23" s="476"/>
      <c r="FW23" s="476"/>
      <c r="FX23" s="476"/>
      <c r="FY23" s="476"/>
      <c r="FZ23" s="476"/>
      <c r="GA23" s="476"/>
      <c r="GB23" s="476"/>
      <c r="GC23" s="476"/>
      <c r="GD23" s="476"/>
      <c r="GE23" s="476"/>
      <c r="GF23" s="476"/>
      <c r="GG23" s="476"/>
      <c r="GH23" s="476"/>
      <c r="GI23" s="476"/>
      <c r="GJ23" s="476"/>
      <c r="GK23" s="476"/>
      <c r="GL23" s="476"/>
      <c r="GM23" s="476"/>
      <c r="GN23" s="476"/>
      <c r="GO23" s="476"/>
      <c r="GP23" s="476"/>
      <c r="GQ23" s="476"/>
      <c r="GR23" s="476"/>
      <c r="GS23" s="476"/>
      <c r="GT23" s="476"/>
      <c r="GU23" s="476"/>
      <c r="GV23" s="476"/>
      <c r="GW23" s="476"/>
      <c r="GX23" s="476"/>
      <c r="GY23" s="476"/>
      <c r="GZ23" s="476"/>
      <c r="HA23" s="476"/>
      <c r="HB23" s="476"/>
      <c r="HC23" s="476"/>
      <c r="HD23" s="476"/>
      <c r="HE23" s="476"/>
      <c r="HF23" s="476"/>
      <c r="HG23" s="476"/>
      <c r="HH23" s="476"/>
      <c r="HI23" s="476"/>
      <c r="HJ23" s="476"/>
      <c r="HK23" s="476"/>
      <c r="HL23" s="476"/>
      <c r="HM23" s="476"/>
      <c r="HN23" s="476"/>
      <c r="HO23" s="476"/>
      <c r="HP23" s="476"/>
      <c r="HQ23" s="476"/>
      <c r="HR23" s="476"/>
      <c r="HS23" s="476"/>
      <c r="HT23" s="476"/>
      <c r="HU23" s="476"/>
      <c r="HV23" s="476"/>
      <c r="HW23" s="476"/>
      <c r="HX23" s="476"/>
      <c r="HY23" s="476"/>
      <c r="HZ23" s="476"/>
      <c r="IA23" s="476"/>
      <c r="IB23" s="476"/>
      <c r="IC23" s="476"/>
      <c r="ID23" s="476"/>
      <c r="IE23" s="476"/>
      <c r="IF23" s="476"/>
      <c r="IG23" s="476"/>
      <c r="IH23" s="476"/>
      <c r="II23" s="476"/>
      <c r="IJ23" s="476"/>
      <c r="IK23" s="476"/>
      <c r="IL23" s="476"/>
      <c r="IM23" s="476"/>
      <c r="IN23" s="476"/>
      <c r="IO23" s="476"/>
      <c r="IP23" s="476"/>
      <c r="IQ23" s="476"/>
      <c r="IR23" s="476"/>
      <c r="IS23" s="476"/>
      <c r="IT23" s="476"/>
      <c r="IU23" s="476"/>
      <c r="IV23" s="476"/>
      <c r="IW23" s="476"/>
      <c r="IX23" s="476"/>
      <c r="IY23" s="476"/>
      <c r="IZ23" s="476"/>
      <c r="JA23" s="476"/>
      <c r="JB23" s="476"/>
      <c r="JC23" s="476"/>
      <c r="JD23" s="476"/>
      <c r="JE23" s="476"/>
      <c r="JF23" s="476"/>
      <c r="JG23" s="476"/>
      <c r="JH23" s="476"/>
      <c r="JI23" s="476"/>
      <c r="JJ23" s="476"/>
      <c r="JK23" s="476"/>
      <c r="JL23" s="476"/>
      <c r="JM23" s="476"/>
      <c r="JN23" s="476"/>
      <c r="JO23" s="476"/>
      <c r="JP23" s="476"/>
      <c r="JQ23" s="476"/>
      <c r="JR23" s="476"/>
      <c r="JS23" s="476"/>
      <c r="JT23" s="476"/>
      <c r="JU23" s="476"/>
      <c r="JV23" s="476"/>
      <c r="JW23" s="476"/>
      <c r="JX23" s="476"/>
      <c r="JY23" s="476"/>
      <c r="JZ23" s="476"/>
      <c r="KA23" s="476"/>
      <c r="KB23" s="476"/>
      <c r="KC23" s="476"/>
      <c r="KD23" s="476"/>
      <c r="KE23" s="476"/>
      <c r="KF23" s="476"/>
      <c r="KG23" s="476"/>
      <c r="KH23" s="476"/>
      <c r="KI23" s="476"/>
      <c r="KJ23" s="476"/>
      <c r="KK23" s="476"/>
      <c r="KL23" s="476"/>
      <c r="KM23" s="476"/>
      <c r="KN23" s="476"/>
      <c r="KO23" s="476"/>
      <c r="KP23" s="476"/>
      <c r="KQ23" s="476"/>
      <c r="KR23" s="476"/>
      <c r="KS23" s="476"/>
      <c r="KT23" s="476"/>
      <c r="KU23" s="476"/>
      <c r="KV23" s="476"/>
      <c r="KW23" s="476"/>
      <c r="KX23" s="476"/>
      <c r="KY23" s="476"/>
      <c r="KZ23" s="476"/>
      <c r="LA23" s="476"/>
      <c r="LB23" s="476"/>
      <c r="LC23" s="476"/>
      <c r="LD23" s="476"/>
      <c r="LE23" s="476"/>
      <c r="LF23" s="476"/>
      <c r="LG23" s="476"/>
      <c r="LH23" s="476"/>
      <c r="LI23" s="476"/>
      <c r="LJ23" s="476"/>
      <c r="LK23" s="476"/>
      <c r="LL23" s="476"/>
      <c r="LM23" s="476"/>
      <c r="LN23" s="476"/>
      <c r="LO23" s="476"/>
      <c r="LP23" s="476"/>
      <c r="LQ23" s="476"/>
      <c r="LR23" s="476"/>
      <c r="LS23" s="476"/>
      <c r="LT23" s="476"/>
      <c r="LU23" s="476"/>
      <c r="LV23" s="476"/>
      <c r="LW23" s="476"/>
      <c r="LX23" s="476"/>
      <c r="LY23" s="476"/>
      <c r="LZ23" s="476"/>
      <c r="MA23" s="476"/>
      <c r="MB23" s="476"/>
      <c r="MC23" s="476"/>
      <c r="MD23" s="476"/>
      <c r="ME23" s="476"/>
      <c r="MF23" s="476"/>
      <c r="MG23" s="476"/>
      <c r="MH23" s="476"/>
      <c r="MI23" s="476"/>
      <c r="MJ23" s="476"/>
      <c r="MK23" s="476"/>
      <c r="ML23" s="476"/>
      <c r="MM23" s="476"/>
      <c r="MN23" s="476"/>
      <c r="MO23" s="476"/>
      <c r="MP23" s="476"/>
      <c r="MQ23" s="476"/>
      <c r="MR23" s="476"/>
      <c r="MS23" s="476"/>
      <c r="MT23" s="476"/>
      <c r="MU23" s="476"/>
      <c r="MV23" s="476"/>
      <c r="MW23" s="476"/>
      <c r="MX23" s="476"/>
      <c r="MY23" s="476"/>
      <c r="MZ23" s="476"/>
      <c r="NA23" s="476"/>
      <c r="NB23" s="476"/>
      <c r="NC23" s="476"/>
      <c r="ND23" s="476"/>
      <c r="NE23" s="476"/>
      <c r="NF23" s="476"/>
      <c r="NG23" s="476"/>
      <c r="NH23" s="476"/>
      <c r="NI23" s="476"/>
      <c r="NJ23" s="476"/>
      <c r="NK23" s="476"/>
      <c r="NL23" s="476"/>
      <c r="NM23" s="476"/>
      <c r="NN23" s="476"/>
      <c r="NO23" s="476"/>
      <c r="NP23" s="476"/>
      <c r="NQ23" s="476"/>
      <c r="NR23" s="476"/>
      <c r="NS23" s="476"/>
      <c r="NT23" s="476"/>
      <c r="NU23" s="476"/>
      <c r="NV23" s="476"/>
      <c r="NW23" s="476"/>
      <c r="NX23" s="476"/>
      <c r="NY23" s="476"/>
      <c r="NZ23" s="476"/>
      <c r="OA23" s="476"/>
      <c r="OB23" s="476"/>
      <c r="OC23" s="476"/>
      <c r="OD23" s="476"/>
      <c r="OE23" s="476"/>
      <c r="OF23" s="476"/>
      <c r="OG23" s="476"/>
      <c r="OH23" s="476"/>
      <c r="OI23" s="476"/>
      <c r="OJ23" s="476"/>
      <c r="OK23" s="476"/>
      <c r="OL23" s="476"/>
      <c r="OM23" s="476"/>
      <c r="ON23" s="476"/>
      <c r="OO23" s="476"/>
      <c r="OP23" s="476"/>
      <c r="OQ23" s="476"/>
      <c r="OR23" s="476"/>
      <c r="OS23" s="476"/>
      <c r="OT23" s="476"/>
      <c r="OU23" s="476"/>
      <c r="OV23" s="476"/>
      <c r="OW23" s="476"/>
      <c r="OX23" s="476"/>
      <c r="OY23" s="476"/>
      <c r="OZ23" s="476"/>
      <c r="PA23" s="476"/>
      <c r="PB23" s="476"/>
      <c r="PC23" s="476"/>
      <c r="PD23" s="476"/>
      <c r="PE23" s="476"/>
      <c r="PF23" s="476"/>
      <c r="PG23" s="476"/>
      <c r="PH23" s="476"/>
      <c r="PI23" s="476"/>
      <c r="PJ23" s="476"/>
      <c r="PK23" s="476"/>
      <c r="PL23" s="476"/>
      <c r="PM23" s="476"/>
      <c r="PN23" s="476"/>
      <c r="PO23" s="476"/>
      <c r="PP23" s="476"/>
      <c r="PQ23" s="476"/>
      <c r="PR23" s="476"/>
      <c r="PS23" s="476"/>
      <c r="PT23" s="476"/>
      <c r="PU23" s="476"/>
      <c r="PV23" s="476"/>
      <c r="PW23" s="476"/>
      <c r="PX23" s="476"/>
      <c r="PY23" s="476"/>
      <c r="PZ23" s="476"/>
      <c r="QA23" s="476"/>
      <c r="QB23" s="476"/>
      <c r="QC23" s="476"/>
      <c r="QD23" s="476"/>
      <c r="QE23" s="476"/>
      <c r="QF23" s="476"/>
      <c r="QG23" s="476"/>
      <c r="QH23" s="476"/>
      <c r="QI23" s="476"/>
      <c r="QJ23" s="476"/>
      <c r="QK23" s="476"/>
      <c r="QL23" s="476"/>
      <c r="QM23" s="476"/>
      <c r="QN23" s="476"/>
      <c r="QO23" s="476"/>
      <c r="QP23" s="476"/>
      <c r="QQ23" s="476"/>
      <c r="QR23" s="476"/>
      <c r="QS23" s="476"/>
      <c r="QT23" s="476"/>
      <c r="QU23" s="476"/>
      <c r="QV23" s="476"/>
      <c r="QW23" s="476"/>
      <c r="QX23" s="476"/>
      <c r="QY23" s="476"/>
      <c r="QZ23" s="476"/>
      <c r="RA23" s="476"/>
      <c r="RB23" s="476"/>
      <c r="RC23" s="476"/>
      <c r="RD23" s="476"/>
      <c r="RE23" s="476"/>
      <c r="RF23" s="476"/>
      <c r="RG23" s="476"/>
      <c r="RH23" s="476"/>
      <c r="RI23" s="476"/>
      <c r="RJ23" s="476"/>
      <c r="RK23" s="476"/>
      <c r="RL23" s="476"/>
      <c r="RM23" s="476"/>
      <c r="RN23" s="476"/>
      <c r="RO23" s="476"/>
      <c r="RP23" s="476"/>
      <c r="RQ23" s="476"/>
      <c r="RR23" s="476"/>
      <c r="RS23" s="476"/>
      <c r="RT23" s="476"/>
      <c r="RU23" s="476"/>
      <c r="RV23" s="476"/>
      <c r="RW23" s="476"/>
      <c r="RX23" s="476"/>
    </row>
    <row r="24" spans="1:492" s="477" customFormat="1" ht="20.149999999999999" customHeight="1">
      <c r="A24" s="489" t="s">
        <v>462</v>
      </c>
      <c r="B24" s="510" t="s">
        <v>463</v>
      </c>
      <c r="C24" s="474"/>
      <c r="D24" s="474"/>
      <c r="E24" s="474"/>
      <c r="F24" s="474"/>
      <c r="G24" s="474"/>
      <c r="H24" s="474"/>
      <c r="I24" s="474"/>
      <c r="J24" s="474"/>
      <c r="K24" s="474"/>
      <c r="L24" s="474"/>
      <c r="M24" s="474"/>
      <c r="N24" s="474"/>
      <c r="O24" s="474"/>
      <c r="P24" s="474"/>
      <c r="Q24" s="474"/>
      <c r="R24" s="474"/>
      <c r="S24" s="474"/>
      <c r="T24" s="474"/>
      <c r="U24" s="474"/>
      <c r="V24" s="474"/>
      <c r="W24" s="474"/>
      <c r="X24" s="474"/>
      <c r="Y24" s="474"/>
      <c r="Z24" s="474"/>
      <c r="AA24" s="474"/>
      <c r="AB24" s="474"/>
      <c r="AC24" s="474"/>
      <c r="AD24" s="474"/>
      <c r="AE24" s="474"/>
      <c r="AF24" s="474"/>
      <c r="AG24" s="474"/>
      <c r="AH24" s="474"/>
      <c r="AI24" s="474"/>
      <c r="AJ24" s="474"/>
      <c r="AK24" s="474"/>
      <c r="AL24" s="474"/>
      <c r="AM24" s="499"/>
      <c r="AN24" s="475"/>
      <c r="AO24" s="475"/>
      <c r="AP24" s="475"/>
      <c r="AQ24" s="500"/>
      <c r="AR24" s="475"/>
      <c r="AS24" s="475"/>
      <c r="AT24" s="475"/>
      <c r="AU24" s="475"/>
      <c r="AV24" s="470"/>
      <c r="AW24" s="475"/>
      <c r="AX24" s="475"/>
      <c r="AY24" s="475"/>
      <c r="AZ24" s="475"/>
      <c r="BA24" s="478"/>
      <c r="BB24" s="499"/>
      <c r="BC24" s="475"/>
      <c r="BD24" s="475"/>
      <c r="BE24" s="475"/>
      <c r="BF24" s="500"/>
      <c r="BG24" s="475"/>
      <c r="BH24" s="475"/>
      <c r="BI24" s="475"/>
      <c r="BJ24" s="475"/>
      <c r="BK24" s="500"/>
      <c r="BL24" s="475"/>
      <c r="BM24" s="469"/>
      <c r="BN24" s="475"/>
      <c r="BO24" s="475"/>
      <c r="BP24" s="500"/>
      <c r="BQ24" s="475"/>
      <c r="BR24" s="469"/>
      <c r="BS24" s="475">
        <v>25.9</v>
      </c>
      <c r="BT24" s="671">
        <v>-1.4</v>
      </c>
      <c r="BU24" s="823">
        <f>SUM(BQ24:BT24)</f>
        <v>24.5</v>
      </c>
      <c r="BV24" s="475">
        <v>49.3</v>
      </c>
      <c r="BW24" s="469">
        <v>71.399999999999991</v>
      </c>
      <c r="BX24" s="475">
        <v>82.200000000000017</v>
      </c>
      <c r="BY24" s="810">
        <v>79.099999999999994</v>
      </c>
      <c r="BZ24" s="823">
        <f>SUM(BV24:BY24)</f>
        <v>282</v>
      </c>
      <c r="CA24" s="475">
        <v>57.1</v>
      </c>
      <c r="CB24" s="469"/>
      <c r="CC24" s="475"/>
      <c r="CD24" s="810"/>
      <c r="CE24" s="823">
        <f>SUM(CA24:CD24)</f>
        <v>57.1</v>
      </c>
      <c r="CF24" s="476"/>
      <c r="CG24" s="476"/>
      <c r="CH24" s="476"/>
      <c r="CI24" s="476"/>
      <c r="CJ24" s="476"/>
      <c r="CK24" s="476"/>
      <c r="CL24" s="476"/>
      <c r="CM24" s="476"/>
      <c r="CN24" s="476"/>
      <c r="CO24" s="476"/>
      <c r="CP24" s="476"/>
      <c r="CQ24" s="476"/>
      <c r="CR24" s="476"/>
      <c r="CS24" s="476"/>
      <c r="CT24" s="476"/>
      <c r="CU24" s="476"/>
      <c r="CV24" s="476"/>
      <c r="CW24" s="476"/>
      <c r="CX24" s="476"/>
      <c r="CY24" s="476"/>
      <c r="CZ24" s="476"/>
      <c r="DA24" s="476"/>
      <c r="DB24" s="476"/>
      <c r="DC24" s="476"/>
      <c r="DD24" s="476"/>
      <c r="DE24" s="476"/>
      <c r="DF24" s="476"/>
      <c r="DG24" s="476"/>
      <c r="DH24" s="476"/>
      <c r="DI24" s="476"/>
      <c r="DJ24" s="476"/>
      <c r="DK24" s="476"/>
      <c r="DL24" s="476"/>
      <c r="DM24" s="476"/>
      <c r="DN24" s="476"/>
      <c r="DO24" s="476"/>
      <c r="DP24" s="476"/>
      <c r="DQ24" s="476"/>
      <c r="DR24" s="476"/>
      <c r="DS24" s="476"/>
      <c r="DT24" s="476"/>
      <c r="DU24" s="476"/>
      <c r="DV24" s="476"/>
      <c r="DW24" s="476"/>
      <c r="DX24" s="476"/>
      <c r="DY24" s="476"/>
      <c r="DZ24" s="476"/>
      <c r="EA24" s="476"/>
      <c r="EB24" s="476"/>
      <c r="EC24" s="476"/>
      <c r="ED24" s="476"/>
      <c r="EE24" s="476"/>
      <c r="EF24" s="476"/>
      <c r="EG24" s="476"/>
      <c r="EH24" s="476"/>
      <c r="EI24" s="476"/>
      <c r="EJ24" s="476"/>
      <c r="EK24" s="476"/>
      <c r="EL24" s="476"/>
      <c r="EM24" s="476"/>
      <c r="EN24" s="476"/>
      <c r="EO24" s="476"/>
      <c r="EP24" s="476"/>
      <c r="EQ24" s="476"/>
      <c r="ER24" s="476"/>
      <c r="ES24" s="476"/>
      <c r="ET24" s="476"/>
      <c r="EU24" s="476"/>
      <c r="EV24" s="476"/>
      <c r="EW24" s="476"/>
      <c r="EX24" s="476"/>
      <c r="EY24" s="476"/>
      <c r="EZ24" s="476"/>
      <c r="FA24" s="476"/>
      <c r="FB24" s="476"/>
      <c r="FC24" s="476"/>
      <c r="FD24" s="476"/>
      <c r="FE24" s="476"/>
      <c r="FF24" s="476"/>
      <c r="FG24" s="476"/>
      <c r="FH24" s="476"/>
      <c r="FI24" s="476"/>
      <c r="FJ24" s="476"/>
      <c r="FK24" s="476"/>
      <c r="FL24" s="476"/>
      <c r="FM24" s="476"/>
      <c r="FN24" s="476"/>
      <c r="FO24" s="476"/>
      <c r="FP24" s="476"/>
      <c r="FQ24" s="476"/>
      <c r="FR24" s="476"/>
      <c r="FS24" s="476"/>
      <c r="FT24" s="476"/>
      <c r="FU24" s="476"/>
      <c r="FV24" s="476"/>
      <c r="FW24" s="476"/>
      <c r="FX24" s="476"/>
      <c r="FY24" s="476"/>
      <c r="FZ24" s="476"/>
      <c r="GA24" s="476"/>
      <c r="GB24" s="476"/>
      <c r="GC24" s="476"/>
      <c r="GD24" s="476"/>
      <c r="GE24" s="476"/>
      <c r="GF24" s="476"/>
      <c r="GG24" s="476"/>
      <c r="GH24" s="476"/>
      <c r="GI24" s="476"/>
      <c r="GJ24" s="476"/>
      <c r="GK24" s="476"/>
      <c r="GL24" s="476"/>
      <c r="GM24" s="476"/>
      <c r="GN24" s="476"/>
      <c r="GO24" s="476"/>
      <c r="GP24" s="476"/>
      <c r="GQ24" s="476"/>
      <c r="GR24" s="476"/>
      <c r="GS24" s="476"/>
      <c r="GT24" s="476"/>
      <c r="GU24" s="476"/>
      <c r="GV24" s="476"/>
      <c r="GW24" s="476"/>
      <c r="GX24" s="476"/>
      <c r="GY24" s="476"/>
      <c r="GZ24" s="476"/>
      <c r="HA24" s="476"/>
      <c r="HB24" s="476"/>
      <c r="HC24" s="476"/>
      <c r="HD24" s="476"/>
      <c r="HE24" s="476"/>
      <c r="HF24" s="476"/>
      <c r="HG24" s="476"/>
      <c r="HH24" s="476"/>
      <c r="HI24" s="476"/>
      <c r="HJ24" s="476"/>
      <c r="HK24" s="476"/>
      <c r="HL24" s="476"/>
      <c r="HM24" s="476"/>
      <c r="HN24" s="476"/>
      <c r="HO24" s="476"/>
      <c r="HP24" s="476"/>
      <c r="HQ24" s="476"/>
      <c r="HR24" s="476"/>
      <c r="HS24" s="476"/>
      <c r="HT24" s="476"/>
      <c r="HU24" s="476"/>
      <c r="HV24" s="476"/>
      <c r="HW24" s="476"/>
      <c r="HX24" s="476"/>
      <c r="HY24" s="476"/>
      <c r="HZ24" s="476"/>
      <c r="IA24" s="476"/>
      <c r="IB24" s="476"/>
      <c r="IC24" s="476"/>
      <c r="ID24" s="476"/>
      <c r="IE24" s="476"/>
      <c r="IF24" s="476"/>
      <c r="IG24" s="476"/>
      <c r="IH24" s="476"/>
      <c r="II24" s="476"/>
      <c r="IJ24" s="476"/>
      <c r="IK24" s="476"/>
      <c r="IL24" s="476"/>
      <c r="IM24" s="476"/>
      <c r="IN24" s="476"/>
      <c r="IO24" s="476"/>
      <c r="IP24" s="476"/>
      <c r="IQ24" s="476"/>
      <c r="IR24" s="476"/>
      <c r="IS24" s="476"/>
      <c r="IT24" s="476"/>
      <c r="IU24" s="476"/>
      <c r="IV24" s="476"/>
      <c r="IW24" s="476"/>
      <c r="IX24" s="476"/>
      <c r="IY24" s="476"/>
      <c r="IZ24" s="476"/>
      <c r="JA24" s="476"/>
      <c r="JB24" s="476"/>
      <c r="JC24" s="476"/>
      <c r="JD24" s="476"/>
      <c r="JE24" s="476"/>
      <c r="JF24" s="476"/>
      <c r="JG24" s="476"/>
      <c r="JH24" s="476"/>
      <c r="JI24" s="476"/>
      <c r="JJ24" s="476"/>
      <c r="JK24" s="476"/>
      <c r="JL24" s="476"/>
      <c r="JM24" s="476"/>
      <c r="JN24" s="476"/>
      <c r="JO24" s="476"/>
      <c r="JP24" s="476"/>
      <c r="JQ24" s="476"/>
      <c r="JR24" s="476"/>
      <c r="JS24" s="476"/>
      <c r="JT24" s="476"/>
      <c r="JU24" s="476"/>
      <c r="JV24" s="476"/>
      <c r="JW24" s="476"/>
      <c r="JX24" s="476"/>
      <c r="JY24" s="476"/>
      <c r="JZ24" s="476"/>
      <c r="KA24" s="476"/>
      <c r="KB24" s="476"/>
      <c r="KC24" s="476"/>
      <c r="KD24" s="476"/>
      <c r="KE24" s="476"/>
      <c r="KF24" s="476"/>
      <c r="KG24" s="476"/>
      <c r="KH24" s="476"/>
      <c r="KI24" s="476"/>
      <c r="KJ24" s="476"/>
      <c r="KK24" s="476"/>
      <c r="KL24" s="476"/>
      <c r="KM24" s="476"/>
      <c r="KN24" s="476"/>
      <c r="KO24" s="476"/>
      <c r="KP24" s="476"/>
      <c r="KQ24" s="476"/>
      <c r="KR24" s="476"/>
      <c r="KS24" s="476"/>
      <c r="KT24" s="476"/>
      <c r="KU24" s="476"/>
      <c r="KV24" s="476"/>
      <c r="KW24" s="476"/>
      <c r="KX24" s="476"/>
      <c r="KY24" s="476"/>
      <c r="KZ24" s="476"/>
      <c r="LA24" s="476"/>
      <c r="LB24" s="476"/>
      <c r="LC24" s="476"/>
      <c r="LD24" s="476"/>
      <c r="LE24" s="476"/>
      <c r="LF24" s="476"/>
      <c r="LG24" s="476"/>
      <c r="LH24" s="476"/>
      <c r="LI24" s="476"/>
      <c r="LJ24" s="476"/>
      <c r="LK24" s="476"/>
      <c r="LL24" s="476"/>
      <c r="LM24" s="476"/>
      <c r="LN24" s="476"/>
      <c r="LO24" s="476"/>
      <c r="LP24" s="476"/>
      <c r="LQ24" s="476"/>
      <c r="LR24" s="476"/>
      <c r="LS24" s="476"/>
      <c r="LT24" s="476"/>
      <c r="LU24" s="476"/>
      <c r="LV24" s="476"/>
      <c r="LW24" s="476"/>
      <c r="LX24" s="476"/>
      <c r="LY24" s="476"/>
      <c r="LZ24" s="476"/>
      <c r="MA24" s="476"/>
      <c r="MB24" s="476"/>
      <c r="MC24" s="476"/>
      <c r="MD24" s="476"/>
      <c r="ME24" s="476"/>
      <c r="MF24" s="476"/>
      <c r="MG24" s="476"/>
      <c r="MH24" s="476"/>
      <c r="MI24" s="476"/>
      <c r="MJ24" s="476"/>
      <c r="MK24" s="476"/>
      <c r="ML24" s="476"/>
      <c r="MM24" s="476"/>
      <c r="MN24" s="476"/>
      <c r="MO24" s="476"/>
      <c r="MP24" s="476"/>
      <c r="MQ24" s="476"/>
      <c r="MR24" s="476"/>
      <c r="MS24" s="476"/>
      <c r="MT24" s="476"/>
      <c r="MU24" s="476"/>
      <c r="MV24" s="476"/>
      <c r="MW24" s="476"/>
      <c r="MX24" s="476"/>
      <c r="MY24" s="476"/>
      <c r="MZ24" s="476"/>
      <c r="NA24" s="476"/>
      <c r="NB24" s="476"/>
      <c r="NC24" s="476"/>
      <c r="ND24" s="476"/>
      <c r="NE24" s="476"/>
      <c r="NF24" s="476"/>
      <c r="NG24" s="476"/>
      <c r="NH24" s="476"/>
      <c r="NI24" s="476"/>
      <c r="NJ24" s="476"/>
      <c r="NK24" s="476"/>
      <c r="NL24" s="476"/>
      <c r="NM24" s="476"/>
      <c r="NN24" s="476"/>
      <c r="NO24" s="476"/>
      <c r="NP24" s="476"/>
      <c r="NQ24" s="476"/>
      <c r="NR24" s="476"/>
      <c r="NS24" s="476"/>
      <c r="NT24" s="476"/>
      <c r="NU24" s="476"/>
      <c r="NV24" s="476"/>
      <c r="NW24" s="476"/>
      <c r="NX24" s="476"/>
      <c r="NY24" s="476"/>
      <c r="NZ24" s="476"/>
      <c r="OA24" s="476"/>
      <c r="OB24" s="476"/>
      <c r="OC24" s="476"/>
      <c r="OD24" s="476"/>
      <c r="OE24" s="476"/>
      <c r="OF24" s="476"/>
      <c r="OG24" s="476"/>
      <c r="OH24" s="476"/>
      <c r="OI24" s="476"/>
      <c r="OJ24" s="476"/>
      <c r="OK24" s="476"/>
      <c r="OL24" s="476"/>
      <c r="OM24" s="476"/>
      <c r="ON24" s="476"/>
      <c r="OO24" s="476"/>
      <c r="OP24" s="476"/>
      <c r="OQ24" s="476"/>
      <c r="OR24" s="476"/>
      <c r="OS24" s="476"/>
      <c r="OT24" s="476"/>
      <c r="OU24" s="476"/>
      <c r="OV24" s="476"/>
      <c r="OW24" s="476"/>
      <c r="OX24" s="476"/>
      <c r="OY24" s="476"/>
      <c r="OZ24" s="476"/>
      <c r="PA24" s="476"/>
      <c r="PB24" s="476"/>
      <c r="PC24" s="476"/>
      <c r="PD24" s="476"/>
      <c r="PE24" s="476"/>
      <c r="PF24" s="476"/>
      <c r="PG24" s="476"/>
      <c r="PH24" s="476"/>
      <c r="PI24" s="476"/>
      <c r="PJ24" s="476"/>
      <c r="PK24" s="476"/>
      <c r="PL24" s="476"/>
      <c r="PM24" s="476"/>
      <c r="PN24" s="476"/>
      <c r="PO24" s="476"/>
      <c r="PP24" s="476"/>
      <c r="PQ24" s="476"/>
      <c r="PR24" s="476"/>
      <c r="PS24" s="476"/>
      <c r="PT24" s="476"/>
      <c r="PU24" s="476"/>
      <c r="PV24" s="476"/>
      <c r="PW24" s="476"/>
      <c r="PX24" s="476"/>
      <c r="PY24" s="476"/>
      <c r="PZ24" s="476"/>
      <c r="QA24" s="476"/>
      <c r="QB24" s="476"/>
      <c r="QC24" s="476"/>
      <c r="QD24" s="476"/>
      <c r="QE24" s="476"/>
      <c r="QF24" s="476"/>
      <c r="QG24" s="476"/>
      <c r="QH24" s="476"/>
      <c r="QI24" s="476"/>
      <c r="QJ24" s="476"/>
      <c r="QK24" s="476"/>
      <c r="QL24" s="476"/>
      <c r="QM24" s="476"/>
      <c r="QN24" s="476"/>
      <c r="QO24" s="476"/>
      <c r="QP24" s="476"/>
      <c r="QQ24" s="476"/>
      <c r="QR24" s="476"/>
      <c r="QS24" s="476"/>
      <c r="QT24" s="476"/>
      <c r="QU24" s="476"/>
      <c r="QV24" s="476"/>
      <c r="QW24" s="476"/>
      <c r="QX24" s="476"/>
      <c r="QY24" s="476"/>
      <c r="QZ24" s="476"/>
      <c r="RA24" s="476"/>
      <c r="RB24" s="476"/>
      <c r="RC24" s="476"/>
      <c r="RD24" s="476"/>
      <c r="RE24" s="476"/>
      <c r="RF24" s="476"/>
      <c r="RG24" s="476"/>
      <c r="RH24" s="476"/>
      <c r="RI24" s="476"/>
      <c r="RJ24" s="476"/>
      <c r="RK24" s="476"/>
      <c r="RL24" s="476"/>
      <c r="RM24" s="476"/>
      <c r="RN24" s="476"/>
      <c r="RO24" s="476"/>
      <c r="RP24" s="476"/>
      <c r="RQ24" s="476"/>
      <c r="RR24" s="476"/>
      <c r="RS24" s="476"/>
      <c r="RT24" s="476"/>
      <c r="RU24" s="476"/>
      <c r="RV24" s="476"/>
      <c r="RW24" s="476"/>
      <c r="RX24" s="476"/>
    </row>
    <row r="25" spans="1:492" s="477" customFormat="1" ht="20.149999999999999" customHeight="1" thickBot="1">
      <c r="A25" s="489" t="s">
        <v>464</v>
      </c>
      <c r="B25" s="510" t="s">
        <v>465</v>
      </c>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99"/>
      <c r="AN25" s="475"/>
      <c r="AO25" s="475"/>
      <c r="AP25" s="475"/>
      <c r="AQ25" s="500"/>
      <c r="AR25" s="475"/>
      <c r="AS25" s="475"/>
      <c r="AT25" s="475"/>
      <c r="AU25" s="475"/>
      <c r="AV25" s="470"/>
      <c r="AW25" s="475"/>
      <c r="AX25" s="475"/>
      <c r="AY25" s="475"/>
      <c r="AZ25" s="475"/>
      <c r="BA25" s="478"/>
      <c r="BB25" s="499"/>
      <c r="BC25" s="475"/>
      <c r="BD25" s="475"/>
      <c r="BE25" s="475"/>
      <c r="BF25" s="500"/>
      <c r="BG25" s="475"/>
      <c r="BH25" s="475"/>
      <c r="BI25" s="475"/>
      <c r="BJ25" s="475"/>
      <c r="BK25" s="500"/>
      <c r="BL25" s="475"/>
      <c r="BM25" s="671">
        <v>-2.2000000000000002</v>
      </c>
      <c r="BN25" s="671">
        <f>-7.9-BM25-BL25</f>
        <v>-5.7</v>
      </c>
      <c r="BO25" s="475">
        <f>-5.1-BN25-BM25</f>
        <v>2.8000000000000007</v>
      </c>
      <c r="BP25" s="515">
        <f>SUM(BL25:BO25)</f>
        <v>-5.0999999999999996</v>
      </c>
      <c r="BQ25" s="671">
        <v>-1.5</v>
      </c>
      <c r="BR25" s="671">
        <v>0.8</v>
      </c>
      <c r="BS25" s="671">
        <v>-1.2999999999999998</v>
      </c>
      <c r="BT25" s="671">
        <v>-3.1</v>
      </c>
      <c r="BU25" s="826">
        <f>SUM(BQ25:BT25)</f>
        <v>-5.0999999999999996</v>
      </c>
      <c r="BV25" s="671"/>
      <c r="BW25" s="671"/>
      <c r="BX25" s="671"/>
      <c r="BY25" s="671"/>
      <c r="BZ25" s="826">
        <f>SUM(BV25:BY25)</f>
        <v>0</v>
      </c>
      <c r="CA25" s="671"/>
      <c r="CB25" s="671"/>
      <c r="CC25" s="671"/>
      <c r="CD25" s="671"/>
      <c r="CE25" s="826">
        <f>SUM(CA25:CD25)</f>
        <v>0</v>
      </c>
      <c r="CF25" s="476"/>
      <c r="CG25" s="476"/>
      <c r="CH25" s="476"/>
      <c r="CI25" s="476"/>
      <c r="CJ25" s="476"/>
      <c r="CK25" s="476"/>
      <c r="CL25" s="476"/>
      <c r="CM25" s="476"/>
      <c r="CN25" s="476"/>
      <c r="CO25" s="476"/>
      <c r="CP25" s="476"/>
      <c r="CQ25" s="476"/>
      <c r="CR25" s="476"/>
      <c r="CS25" s="476"/>
      <c r="CT25" s="476"/>
      <c r="CU25" s="476"/>
      <c r="CV25" s="476"/>
      <c r="CW25" s="476"/>
      <c r="CX25" s="476"/>
      <c r="CY25" s="476"/>
      <c r="CZ25" s="476"/>
      <c r="DA25" s="476"/>
      <c r="DB25" s="476"/>
      <c r="DC25" s="476"/>
      <c r="DD25" s="476"/>
      <c r="DE25" s="476"/>
      <c r="DF25" s="476"/>
      <c r="DG25" s="476"/>
      <c r="DH25" s="476"/>
      <c r="DI25" s="476"/>
      <c r="DJ25" s="476"/>
      <c r="DK25" s="476"/>
      <c r="DL25" s="476"/>
      <c r="DM25" s="476"/>
      <c r="DN25" s="476"/>
      <c r="DO25" s="476"/>
      <c r="DP25" s="476"/>
      <c r="DQ25" s="476"/>
      <c r="DR25" s="476"/>
      <c r="DS25" s="476"/>
      <c r="DT25" s="476"/>
      <c r="DU25" s="476"/>
      <c r="DV25" s="476"/>
      <c r="DW25" s="476"/>
      <c r="DX25" s="476"/>
      <c r="DY25" s="476"/>
      <c r="DZ25" s="476"/>
      <c r="EA25" s="476"/>
      <c r="EB25" s="476"/>
      <c r="EC25" s="476"/>
      <c r="ED25" s="476"/>
      <c r="EE25" s="476"/>
      <c r="EF25" s="476"/>
      <c r="EG25" s="476"/>
      <c r="EH25" s="476"/>
      <c r="EI25" s="476"/>
      <c r="EJ25" s="476"/>
      <c r="EK25" s="476"/>
      <c r="EL25" s="476"/>
      <c r="EM25" s="476"/>
      <c r="EN25" s="476"/>
      <c r="EO25" s="476"/>
      <c r="EP25" s="476"/>
      <c r="EQ25" s="476"/>
      <c r="ER25" s="476"/>
      <c r="ES25" s="476"/>
      <c r="ET25" s="476"/>
      <c r="EU25" s="476"/>
      <c r="EV25" s="476"/>
      <c r="EW25" s="476"/>
      <c r="EX25" s="476"/>
      <c r="EY25" s="476"/>
      <c r="EZ25" s="476"/>
      <c r="FA25" s="476"/>
      <c r="FB25" s="476"/>
      <c r="FC25" s="476"/>
      <c r="FD25" s="476"/>
      <c r="FE25" s="476"/>
      <c r="FF25" s="476"/>
      <c r="FG25" s="476"/>
      <c r="FH25" s="476"/>
      <c r="FI25" s="476"/>
      <c r="FJ25" s="476"/>
      <c r="FK25" s="476"/>
      <c r="FL25" s="476"/>
      <c r="FM25" s="476"/>
      <c r="FN25" s="476"/>
      <c r="FO25" s="476"/>
      <c r="FP25" s="476"/>
      <c r="FQ25" s="476"/>
      <c r="FR25" s="476"/>
      <c r="FS25" s="476"/>
      <c r="FT25" s="476"/>
      <c r="FU25" s="476"/>
      <c r="FV25" s="476"/>
      <c r="FW25" s="476"/>
      <c r="FX25" s="476"/>
      <c r="FY25" s="476"/>
      <c r="FZ25" s="476"/>
      <c r="GA25" s="476"/>
      <c r="GB25" s="476"/>
      <c r="GC25" s="476"/>
      <c r="GD25" s="476"/>
      <c r="GE25" s="476"/>
      <c r="GF25" s="476"/>
      <c r="GG25" s="476"/>
      <c r="GH25" s="476"/>
      <c r="GI25" s="476"/>
      <c r="GJ25" s="476"/>
      <c r="GK25" s="476"/>
      <c r="GL25" s="476"/>
      <c r="GM25" s="476"/>
      <c r="GN25" s="476"/>
      <c r="GO25" s="476"/>
      <c r="GP25" s="476"/>
      <c r="GQ25" s="476"/>
      <c r="GR25" s="476"/>
      <c r="GS25" s="476"/>
      <c r="GT25" s="476"/>
      <c r="GU25" s="476"/>
      <c r="GV25" s="476"/>
      <c r="GW25" s="476"/>
      <c r="GX25" s="476"/>
      <c r="GY25" s="476"/>
      <c r="GZ25" s="476"/>
      <c r="HA25" s="476"/>
      <c r="HB25" s="476"/>
      <c r="HC25" s="476"/>
      <c r="HD25" s="476"/>
      <c r="HE25" s="476"/>
      <c r="HF25" s="476"/>
      <c r="HG25" s="476"/>
      <c r="HH25" s="476"/>
      <c r="HI25" s="476"/>
      <c r="HJ25" s="476"/>
      <c r="HK25" s="476"/>
      <c r="HL25" s="476"/>
      <c r="HM25" s="476"/>
      <c r="HN25" s="476"/>
      <c r="HO25" s="476"/>
      <c r="HP25" s="476"/>
      <c r="HQ25" s="476"/>
      <c r="HR25" s="476"/>
      <c r="HS25" s="476"/>
      <c r="HT25" s="476"/>
      <c r="HU25" s="476"/>
      <c r="HV25" s="476"/>
      <c r="HW25" s="476"/>
      <c r="HX25" s="476"/>
      <c r="HY25" s="476"/>
      <c r="HZ25" s="476"/>
      <c r="IA25" s="476"/>
      <c r="IB25" s="476"/>
      <c r="IC25" s="476"/>
      <c r="ID25" s="476"/>
      <c r="IE25" s="476"/>
      <c r="IF25" s="476"/>
      <c r="IG25" s="476"/>
      <c r="IH25" s="476"/>
      <c r="II25" s="476"/>
      <c r="IJ25" s="476"/>
      <c r="IK25" s="476"/>
      <c r="IL25" s="476"/>
      <c r="IM25" s="476"/>
      <c r="IN25" s="476"/>
      <c r="IO25" s="476"/>
      <c r="IP25" s="476"/>
      <c r="IQ25" s="476"/>
      <c r="IR25" s="476"/>
      <c r="IS25" s="476"/>
      <c r="IT25" s="476"/>
      <c r="IU25" s="476"/>
      <c r="IV25" s="476"/>
      <c r="IW25" s="476"/>
      <c r="IX25" s="476"/>
      <c r="IY25" s="476"/>
      <c r="IZ25" s="476"/>
      <c r="JA25" s="476"/>
      <c r="JB25" s="476"/>
      <c r="JC25" s="476"/>
      <c r="JD25" s="476"/>
      <c r="JE25" s="476"/>
      <c r="JF25" s="476"/>
      <c r="JG25" s="476"/>
      <c r="JH25" s="476"/>
      <c r="JI25" s="476"/>
      <c r="JJ25" s="476"/>
      <c r="JK25" s="476"/>
      <c r="JL25" s="476"/>
      <c r="JM25" s="476"/>
      <c r="JN25" s="476"/>
      <c r="JO25" s="476"/>
      <c r="JP25" s="476"/>
      <c r="JQ25" s="476"/>
      <c r="JR25" s="476"/>
      <c r="JS25" s="476"/>
      <c r="JT25" s="476"/>
      <c r="JU25" s="476"/>
      <c r="JV25" s="476"/>
      <c r="JW25" s="476"/>
      <c r="JX25" s="476"/>
      <c r="JY25" s="476"/>
      <c r="JZ25" s="476"/>
      <c r="KA25" s="476"/>
      <c r="KB25" s="476"/>
      <c r="KC25" s="476"/>
      <c r="KD25" s="476"/>
      <c r="KE25" s="476"/>
      <c r="KF25" s="476"/>
      <c r="KG25" s="476"/>
      <c r="KH25" s="476"/>
      <c r="KI25" s="476"/>
      <c r="KJ25" s="476"/>
      <c r="KK25" s="476"/>
      <c r="KL25" s="476"/>
      <c r="KM25" s="476"/>
      <c r="KN25" s="476"/>
      <c r="KO25" s="476"/>
      <c r="KP25" s="476"/>
      <c r="KQ25" s="476"/>
      <c r="KR25" s="476"/>
      <c r="KS25" s="476"/>
      <c r="KT25" s="476"/>
      <c r="KU25" s="476"/>
      <c r="KV25" s="476"/>
      <c r="KW25" s="476"/>
      <c r="KX25" s="476"/>
      <c r="KY25" s="476"/>
      <c r="KZ25" s="476"/>
      <c r="LA25" s="476"/>
      <c r="LB25" s="476"/>
      <c r="LC25" s="476"/>
      <c r="LD25" s="476"/>
      <c r="LE25" s="476"/>
      <c r="LF25" s="476"/>
      <c r="LG25" s="476"/>
      <c r="LH25" s="476"/>
      <c r="LI25" s="476"/>
      <c r="LJ25" s="476"/>
      <c r="LK25" s="476"/>
      <c r="LL25" s="476"/>
      <c r="LM25" s="476"/>
      <c r="LN25" s="476"/>
      <c r="LO25" s="476"/>
      <c r="LP25" s="476"/>
      <c r="LQ25" s="476"/>
      <c r="LR25" s="476"/>
      <c r="LS25" s="476"/>
      <c r="LT25" s="476"/>
      <c r="LU25" s="476"/>
      <c r="LV25" s="476"/>
      <c r="LW25" s="476"/>
      <c r="LX25" s="476"/>
      <c r="LY25" s="476"/>
      <c r="LZ25" s="476"/>
      <c r="MA25" s="476"/>
      <c r="MB25" s="476"/>
      <c r="MC25" s="476"/>
      <c r="MD25" s="476"/>
      <c r="ME25" s="476"/>
      <c r="MF25" s="476"/>
      <c r="MG25" s="476"/>
      <c r="MH25" s="476"/>
      <c r="MI25" s="476"/>
      <c r="MJ25" s="476"/>
      <c r="MK25" s="476"/>
      <c r="ML25" s="476"/>
      <c r="MM25" s="476"/>
      <c r="MN25" s="476"/>
      <c r="MO25" s="476"/>
      <c r="MP25" s="476"/>
      <c r="MQ25" s="476"/>
      <c r="MR25" s="476"/>
      <c r="MS25" s="476"/>
      <c r="MT25" s="476"/>
      <c r="MU25" s="476"/>
      <c r="MV25" s="476"/>
      <c r="MW25" s="476"/>
      <c r="MX25" s="476"/>
      <c r="MY25" s="476"/>
      <c r="MZ25" s="476"/>
      <c r="NA25" s="476"/>
      <c r="NB25" s="476"/>
      <c r="NC25" s="476"/>
      <c r="ND25" s="476"/>
      <c r="NE25" s="476"/>
      <c r="NF25" s="476"/>
      <c r="NG25" s="476"/>
      <c r="NH25" s="476"/>
      <c r="NI25" s="476"/>
      <c r="NJ25" s="476"/>
      <c r="NK25" s="476"/>
      <c r="NL25" s="476"/>
      <c r="NM25" s="476"/>
      <c r="NN25" s="476"/>
      <c r="NO25" s="476"/>
      <c r="NP25" s="476"/>
      <c r="NQ25" s="476"/>
      <c r="NR25" s="476"/>
      <c r="NS25" s="476"/>
      <c r="NT25" s="476"/>
      <c r="NU25" s="476"/>
      <c r="NV25" s="476"/>
      <c r="NW25" s="476"/>
      <c r="NX25" s="476"/>
      <c r="NY25" s="476"/>
      <c r="NZ25" s="476"/>
      <c r="OA25" s="476"/>
      <c r="OB25" s="476"/>
      <c r="OC25" s="476"/>
      <c r="OD25" s="476"/>
      <c r="OE25" s="476"/>
      <c r="OF25" s="476"/>
      <c r="OG25" s="476"/>
      <c r="OH25" s="476"/>
      <c r="OI25" s="476"/>
      <c r="OJ25" s="476"/>
      <c r="OK25" s="476"/>
      <c r="OL25" s="476"/>
      <c r="OM25" s="476"/>
      <c r="ON25" s="476"/>
      <c r="OO25" s="476"/>
      <c r="OP25" s="476"/>
      <c r="OQ25" s="476"/>
      <c r="OR25" s="476"/>
      <c r="OS25" s="476"/>
      <c r="OT25" s="476"/>
      <c r="OU25" s="476"/>
      <c r="OV25" s="476"/>
      <c r="OW25" s="476"/>
      <c r="OX25" s="476"/>
      <c r="OY25" s="476"/>
      <c r="OZ25" s="476"/>
      <c r="PA25" s="476"/>
      <c r="PB25" s="476"/>
      <c r="PC25" s="476"/>
      <c r="PD25" s="476"/>
      <c r="PE25" s="476"/>
      <c r="PF25" s="476"/>
      <c r="PG25" s="476"/>
      <c r="PH25" s="476"/>
      <c r="PI25" s="476"/>
      <c r="PJ25" s="476"/>
      <c r="PK25" s="476"/>
      <c r="PL25" s="476"/>
      <c r="PM25" s="476"/>
      <c r="PN25" s="476"/>
      <c r="PO25" s="476"/>
      <c r="PP25" s="476"/>
      <c r="PQ25" s="476"/>
      <c r="PR25" s="476"/>
      <c r="PS25" s="476"/>
      <c r="PT25" s="476"/>
      <c r="PU25" s="476"/>
      <c r="PV25" s="476"/>
      <c r="PW25" s="476"/>
      <c r="PX25" s="476"/>
      <c r="PY25" s="476"/>
      <c r="PZ25" s="476"/>
      <c r="QA25" s="476"/>
      <c r="QB25" s="476"/>
      <c r="QC25" s="476"/>
      <c r="QD25" s="476"/>
      <c r="QE25" s="476"/>
      <c r="QF25" s="476"/>
      <c r="QG25" s="476"/>
      <c r="QH25" s="476"/>
      <c r="QI25" s="476"/>
      <c r="QJ25" s="476"/>
      <c r="QK25" s="476"/>
      <c r="QL25" s="476"/>
      <c r="QM25" s="476"/>
      <c r="QN25" s="476"/>
      <c r="QO25" s="476"/>
      <c r="QP25" s="476"/>
      <c r="QQ25" s="476"/>
      <c r="QR25" s="476"/>
      <c r="QS25" s="476"/>
      <c r="QT25" s="476"/>
      <c r="QU25" s="476"/>
      <c r="QV25" s="476"/>
      <c r="QW25" s="476"/>
      <c r="QX25" s="476"/>
      <c r="QY25" s="476"/>
      <c r="QZ25" s="476"/>
      <c r="RA25" s="476"/>
      <c r="RB25" s="476"/>
      <c r="RC25" s="476"/>
      <c r="RD25" s="476"/>
      <c r="RE25" s="476"/>
      <c r="RF25" s="476"/>
      <c r="RG25" s="476"/>
      <c r="RH25" s="476"/>
      <c r="RI25" s="476"/>
      <c r="RJ25" s="476"/>
      <c r="RK25" s="476"/>
      <c r="RL25" s="476"/>
      <c r="RM25" s="476"/>
      <c r="RN25" s="476"/>
      <c r="RO25" s="476"/>
      <c r="RP25" s="476"/>
      <c r="RQ25" s="476"/>
      <c r="RR25" s="476"/>
      <c r="RS25" s="476"/>
      <c r="RT25" s="476"/>
      <c r="RU25" s="476"/>
      <c r="RV25" s="476"/>
      <c r="RW25" s="476"/>
      <c r="RX25" s="476"/>
    </row>
    <row r="26" spans="1:492" s="59" customFormat="1" ht="20.25" customHeight="1" thickBot="1">
      <c r="A26" s="490" t="s">
        <v>476</v>
      </c>
      <c r="B26" s="511" t="s">
        <v>477</v>
      </c>
      <c r="C26" s="391"/>
      <c r="D26" s="391"/>
      <c r="E26" s="391"/>
      <c r="F26" s="391"/>
      <c r="G26" s="391"/>
      <c r="H26" s="391"/>
      <c r="I26" s="391"/>
      <c r="J26" s="391"/>
      <c r="K26" s="391"/>
      <c r="L26" s="391"/>
      <c r="M26" s="391"/>
      <c r="N26" s="391"/>
      <c r="O26" s="391"/>
      <c r="P26" s="391"/>
      <c r="Q26" s="391"/>
      <c r="R26" s="391"/>
      <c r="S26" s="391"/>
      <c r="T26" s="391"/>
      <c r="U26" s="391"/>
      <c r="V26" s="391"/>
      <c r="W26" s="391"/>
      <c r="X26" s="391"/>
      <c r="Y26" s="391"/>
      <c r="Z26" s="391"/>
      <c r="AA26" s="391"/>
      <c r="AB26" s="391"/>
      <c r="AC26" s="391"/>
      <c r="AD26" s="391"/>
      <c r="AE26" s="391"/>
      <c r="AF26" s="391"/>
      <c r="AG26" s="391"/>
      <c r="AH26" s="391"/>
      <c r="AI26" s="391"/>
      <c r="AJ26" s="391"/>
      <c r="AK26" s="391"/>
      <c r="AL26" s="391"/>
      <c r="AM26" s="502">
        <f>SUM(AM27:AM28)</f>
        <v>435.5</v>
      </c>
      <c r="AN26" s="392">
        <f t="shared" ref="AN26:BF26" si="35">SUM(AN27:AN28)</f>
        <v>475.59999999999997</v>
      </c>
      <c r="AO26" s="392">
        <f t="shared" si="35"/>
        <v>396.5</v>
      </c>
      <c r="AP26" s="392">
        <f t="shared" si="35"/>
        <v>419.40000000000015</v>
      </c>
      <c r="AQ26" s="503">
        <f t="shared" si="35"/>
        <v>1727</v>
      </c>
      <c r="AR26" s="392">
        <f t="shared" si="35"/>
        <v>0</v>
      </c>
      <c r="AS26" s="392">
        <f t="shared" si="35"/>
        <v>0</v>
      </c>
      <c r="AT26" s="392">
        <f t="shared" si="35"/>
        <v>0</v>
      </c>
      <c r="AU26" s="392">
        <f t="shared" si="35"/>
        <v>0</v>
      </c>
      <c r="AV26" s="393">
        <f t="shared" si="35"/>
        <v>0</v>
      </c>
      <c r="AW26" s="392">
        <f t="shared" si="35"/>
        <v>491.2</v>
      </c>
      <c r="AX26" s="392">
        <f t="shared" si="35"/>
        <v>522.5</v>
      </c>
      <c r="AY26" s="392">
        <f t="shared" si="35"/>
        <v>459.00000000000006</v>
      </c>
      <c r="AZ26" s="392">
        <f t="shared" si="35"/>
        <v>494.30000000000013</v>
      </c>
      <c r="BA26" s="494">
        <f t="shared" si="35"/>
        <v>1967</v>
      </c>
      <c r="BB26" s="502">
        <f t="shared" si="35"/>
        <v>462.2</v>
      </c>
      <c r="BC26" s="392">
        <f t="shared" si="35"/>
        <v>394.1</v>
      </c>
      <c r="BD26" s="392">
        <f t="shared" si="35"/>
        <v>505.9</v>
      </c>
      <c r="BE26" s="392">
        <f t="shared" si="35"/>
        <v>524</v>
      </c>
      <c r="BF26" s="503">
        <f t="shared" si="35"/>
        <v>1886.2</v>
      </c>
      <c r="BG26" s="392">
        <f t="shared" ref="BG26:BK26" si="36">SUM(BG27:BG28)</f>
        <v>561.5</v>
      </c>
      <c r="BH26" s="392">
        <f t="shared" si="36"/>
        <v>683.7</v>
      </c>
      <c r="BI26" s="392">
        <f t="shared" si="36"/>
        <v>4131.4000000000005</v>
      </c>
      <c r="BJ26" s="392">
        <f t="shared" si="36"/>
        <v>419.80000000000018</v>
      </c>
      <c r="BK26" s="503">
        <f t="shared" si="36"/>
        <v>5796.4000000000005</v>
      </c>
      <c r="BL26" s="392">
        <f>SUM(BL27:BL29)</f>
        <v>320.3</v>
      </c>
      <c r="BM26" s="672">
        <f>SUM(BM27:BM31)</f>
        <v>425.8</v>
      </c>
      <c r="BN26" s="392">
        <f>SUM(BN27:BN31)</f>
        <v>500.90000000000003</v>
      </c>
      <c r="BO26" s="392">
        <f>SUM(BO27:BO31)</f>
        <v>395.19999999999993</v>
      </c>
      <c r="BP26" s="503">
        <f>SUM(BP27:BP31)</f>
        <v>1642.2</v>
      </c>
      <c r="BQ26" s="392">
        <f>SUM(BQ27:BQ31)</f>
        <v>298.7</v>
      </c>
      <c r="BR26" s="392">
        <f t="shared" ref="BR26:BT26" si="37">SUM(BR27:BR31)</f>
        <v>329.79999999999995</v>
      </c>
      <c r="BS26" s="392">
        <f t="shared" si="37"/>
        <v>510.90000000000003</v>
      </c>
      <c r="BT26" s="392">
        <f t="shared" si="37"/>
        <v>172.2</v>
      </c>
      <c r="BU26" s="825">
        <f>SUM(BU27:BU31)</f>
        <v>1311.6000000000001</v>
      </c>
      <c r="BV26" s="392">
        <f>SUM(BV27:BV31)</f>
        <v>452.7</v>
      </c>
      <c r="BW26" s="392">
        <f t="shared" ref="BW26:BY26" si="38">SUM(BW27:BW31)</f>
        <v>396.00000000000011</v>
      </c>
      <c r="BX26" s="392">
        <f t="shared" si="38"/>
        <v>569.5</v>
      </c>
      <c r="BY26" s="392">
        <f t="shared" si="38"/>
        <v>347.99999999999994</v>
      </c>
      <c r="BZ26" s="825">
        <f>SUM(BZ27:BZ31)</f>
        <v>1766.2</v>
      </c>
      <c r="CA26" s="392">
        <f>SUM(CA27:CA31)</f>
        <v>410.29999999999995</v>
      </c>
      <c r="CB26" s="392"/>
      <c r="CC26" s="392"/>
      <c r="CD26" s="392"/>
      <c r="CE26" s="825">
        <f>SUM(CE27:CE31)</f>
        <v>410.29999999999995</v>
      </c>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c r="DV26" s="11"/>
      <c r="DW26" s="11"/>
      <c r="DX26" s="11"/>
      <c r="DY26" s="11"/>
      <c r="DZ26" s="11"/>
      <c r="EA26" s="11"/>
      <c r="EB26" s="11"/>
      <c r="EC26" s="11"/>
      <c r="ED26" s="11"/>
      <c r="EE26" s="11"/>
      <c r="EF26" s="11"/>
      <c r="EG26" s="11"/>
      <c r="EH26" s="11"/>
      <c r="EI26" s="11"/>
      <c r="EJ26" s="11"/>
      <c r="EK26" s="11"/>
      <c r="EL26" s="11"/>
      <c r="EM26" s="11"/>
      <c r="EN26" s="11"/>
      <c r="EO26" s="11"/>
      <c r="EP26" s="11"/>
      <c r="EQ26" s="11"/>
      <c r="ER26" s="11"/>
      <c r="ES26" s="11"/>
      <c r="ET26" s="11"/>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IO26" s="11"/>
      <c r="IP26" s="11"/>
      <c r="IQ26" s="11"/>
      <c r="IR26" s="11"/>
      <c r="IS26" s="11"/>
      <c r="IT26" s="11"/>
      <c r="IU26" s="11"/>
      <c r="IV26" s="11"/>
      <c r="IW26" s="11"/>
      <c r="IX26" s="11"/>
      <c r="IY26" s="11"/>
      <c r="IZ26" s="11"/>
      <c r="JA26" s="11"/>
      <c r="JB26" s="11"/>
      <c r="JC26" s="11"/>
      <c r="JD26" s="11"/>
      <c r="JE26" s="11"/>
      <c r="JF26" s="11"/>
      <c r="JG26" s="11"/>
      <c r="JH26" s="11"/>
      <c r="JI26" s="11"/>
      <c r="JJ26" s="11"/>
      <c r="JK26" s="11"/>
      <c r="JL26" s="11"/>
      <c r="JM26" s="11"/>
      <c r="JN26" s="11"/>
      <c r="JO26" s="11"/>
      <c r="JP26" s="11"/>
      <c r="JQ26" s="11"/>
      <c r="JR26" s="11"/>
      <c r="JS26" s="11"/>
      <c r="JT26" s="11"/>
      <c r="JU26" s="11"/>
      <c r="JV26" s="11"/>
      <c r="JW26" s="11"/>
      <c r="JX26" s="11"/>
      <c r="JY26" s="11"/>
      <c r="JZ26" s="11"/>
      <c r="KA26" s="11"/>
      <c r="KB26" s="11"/>
      <c r="KC26" s="11"/>
      <c r="KD26" s="11"/>
      <c r="KE26" s="11"/>
      <c r="KF26" s="11"/>
      <c r="KG26" s="11"/>
      <c r="KH26" s="11"/>
      <c r="KI26" s="11"/>
      <c r="KJ26" s="11"/>
      <c r="KK26" s="11"/>
      <c r="KL26" s="11"/>
      <c r="KM26" s="11"/>
      <c r="KN26" s="11"/>
      <c r="KO26" s="11"/>
      <c r="KP26" s="11"/>
      <c r="KQ26" s="11"/>
      <c r="KR26" s="11"/>
      <c r="KS26" s="11"/>
      <c r="KT26" s="11"/>
      <c r="KU26" s="11"/>
      <c r="KV26" s="11"/>
      <c r="KW26" s="11"/>
      <c r="KX26" s="11"/>
      <c r="KY26" s="11"/>
      <c r="KZ26" s="11"/>
      <c r="LA26" s="11"/>
      <c r="LB26" s="11"/>
      <c r="LC26" s="11"/>
      <c r="LD26" s="11"/>
      <c r="LE26" s="11"/>
      <c r="LF26" s="11"/>
      <c r="LG26" s="11"/>
      <c r="LH26" s="11"/>
      <c r="LI26" s="11"/>
      <c r="LJ26" s="11"/>
      <c r="LK26" s="11"/>
      <c r="LL26" s="11"/>
      <c r="LM26" s="11"/>
      <c r="LN26" s="11"/>
      <c r="LO26" s="11"/>
      <c r="LP26" s="11"/>
      <c r="LQ26" s="11"/>
      <c r="LR26" s="11"/>
      <c r="LS26" s="11"/>
      <c r="LT26" s="11"/>
      <c r="LU26" s="11"/>
      <c r="LV26" s="11"/>
      <c r="LW26" s="11"/>
      <c r="LX26" s="11"/>
      <c r="LY26" s="11"/>
      <c r="LZ26" s="11"/>
      <c r="MA26" s="11"/>
      <c r="MB26" s="11"/>
      <c r="MC26" s="11"/>
      <c r="MD26" s="11"/>
      <c r="ME26" s="11"/>
      <c r="MF26" s="11"/>
      <c r="MG26" s="11"/>
      <c r="MH26" s="11"/>
      <c r="MI26" s="11"/>
      <c r="MJ26" s="11"/>
      <c r="MK26" s="11"/>
      <c r="ML26" s="11"/>
      <c r="MM26" s="11"/>
      <c r="MN26" s="11"/>
      <c r="MO26" s="11"/>
      <c r="MP26" s="11"/>
      <c r="MQ26" s="11"/>
      <c r="MR26" s="11"/>
      <c r="MS26" s="11"/>
      <c r="MT26" s="11"/>
      <c r="MU26" s="11"/>
      <c r="MV26" s="11"/>
      <c r="MW26" s="11"/>
      <c r="MX26" s="11"/>
      <c r="MY26" s="11"/>
      <c r="MZ26" s="11"/>
      <c r="NA26" s="11"/>
      <c r="NB26" s="11"/>
      <c r="NC26" s="11"/>
      <c r="ND26" s="11"/>
      <c r="NE26" s="11"/>
      <c r="NF26" s="11"/>
      <c r="NG26" s="11"/>
      <c r="NH26" s="11"/>
      <c r="NI26" s="11"/>
      <c r="NJ26" s="11"/>
      <c r="NK26" s="11"/>
      <c r="NL26" s="11"/>
      <c r="NM26" s="11"/>
      <c r="NN26" s="11"/>
      <c r="NO26" s="11"/>
      <c r="NP26" s="11"/>
      <c r="NQ26" s="11"/>
      <c r="NR26" s="11"/>
      <c r="NS26" s="11"/>
      <c r="NT26" s="11"/>
      <c r="NU26" s="11"/>
      <c r="NV26" s="11"/>
      <c r="NW26" s="11"/>
      <c r="NX26" s="11"/>
      <c r="NY26" s="11"/>
      <c r="NZ26" s="11"/>
      <c r="OA26" s="11"/>
      <c r="OB26" s="11"/>
      <c r="OC26" s="11"/>
      <c r="OD26" s="11"/>
      <c r="OE26" s="11"/>
      <c r="OF26" s="11"/>
      <c r="OG26" s="11"/>
      <c r="OH26" s="11"/>
      <c r="OI26" s="11"/>
      <c r="OJ26" s="11"/>
      <c r="OK26" s="11"/>
      <c r="OL26" s="11"/>
      <c r="OM26" s="11"/>
      <c r="ON26" s="11"/>
      <c r="OO26" s="11"/>
      <c r="OP26" s="11"/>
      <c r="OQ26" s="11"/>
      <c r="OR26" s="11"/>
      <c r="OS26" s="11"/>
      <c r="OT26" s="11"/>
      <c r="OU26" s="11"/>
      <c r="OV26" s="11"/>
      <c r="OW26" s="11"/>
      <c r="OX26" s="11"/>
      <c r="OY26" s="11"/>
      <c r="OZ26" s="11"/>
      <c r="PA26" s="11"/>
      <c r="PB26" s="11"/>
      <c r="PC26" s="11"/>
      <c r="PD26" s="11"/>
      <c r="PE26" s="11"/>
      <c r="PF26" s="11"/>
      <c r="PG26" s="11"/>
      <c r="PH26" s="11"/>
      <c r="PI26" s="11"/>
      <c r="PJ26" s="11"/>
      <c r="PK26" s="11"/>
      <c r="PL26" s="11"/>
      <c r="PM26" s="11"/>
      <c r="PN26" s="11"/>
      <c r="PO26" s="11"/>
      <c r="PP26" s="11"/>
      <c r="PQ26" s="11"/>
      <c r="PR26" s="11"/>
      <c r="PS26" s="11"/>
      <c r="PT26" s="11"/>
      <c r="PU26" s="11"/>
      <c r="PV26" s="11"/>
      <c r="PW26" s="11"/>
      <c r="PX26" s="11"/>
      <c r="PY26" s="11"/>
      <c r="PZ26" s="11"/>
      <c r="QA26" s="11"/>
      <c r="QB26" s="11"/>
      <c r="QC26" s="11"/>
      <c r="QD26" s="11"/>
      <c r="QE26" s="11"/>
      <c r="QF26" s="11"/>
      <c r="QG26" s="11"/>
      <c r="QH26" s="11"/>
      <c r="QI26" s="11"/>
      <c r="QJ26" s="11"/>
      <c r="QK26" s="11"/>
      <c r="QL26" s="11"/>
      <c r="QM26" s="11"/>
      <c r="QN26" s="11"/>
      <c r="QO26" s="11"/>
      <c r="QP26" s="11"/>
      <c r="QQ26" s="11"/>
      <c r="QR26" s="11"/>
      <c r="QS26" s="11"/>
      <c r="QT26" s="11"/>
      <c r="QU26" s="11"/>
      <c r="QV26" s="11"/>
      <c r="QW26" s="11"/>
      <c r="QX26" s="11"/>
      <c r="QY26" s="11"/>
      <c r="QZ26" s="11"/>
      <c r="RA26" s="11"/>
      <c r="RB26" s="11"/>
      <c r="RC26" s="11"/>
      <c r="RD26" s="11"/>
      <c r="RE26" s="11"/>
      <c r="RF26" s="11"/>
      <c r="RG26" s="11"/>
      <c r="RH26" s="11"/>
      <c r="RI26" s="11"/>
      <c r="RJ26" s="11"/>
      <c r="RK26" s="11"/>
      <c r="RL26" s="11"/>
      <c r="RM26" s="11"/>
      <c r="RN26" s="11"/>
      <c r="RO26" s="11"/>
      <c r="RP26" s="11"/>
      <c r="RQ26" s="11"/>
      <c r="RR26" s="11"/>
      <c r="RS26" s="11"/>
      <c r="RT26" s="11"/>
      <c r="RU26" s="11"/>
      <c r="RV26" s="11"/>
      <c r="RW26" s="11"/>
      <c r="RX26" s="11"/>
    </row>
    <row r="27" spans="1:492" s="477" customFormat="1" ht="20.149999999999999" customHeight="1">
      <c r="A27" s="489" t="s">
        <v>456</v>
      </c>
      <c r="B27" s="510" t="s">
        <v>457</v>
      </c>
      <c r="C27" s="474"/>
      <c r="D27" s="474"/>
      <c r="E27" s="474"/>
      <c r="F27" s="474"/>
      <c r="G27" s="474"/>
      <c r="H27" s="474"/>
      <c r="I27" s="474"/>
      <c r="J27" s="474"/>
      <c r="K27" s="474"/>
      <c r="L27" s="474"/>
      <c r="M27" s="474"/>
      <c r="N27" s="474"/>
      <c r="O27" s="474"/>
      <c r="P27" s="474"/>
      <c r="Q27" s="474"/>
      <c r="R27" s="474"/>
      <c r="S27" s="474"/>
      <c r="T27" s="474"/>
      <c r="U27" s="474"/>
      <c r="V27" s="474"/>
      <c r="W27" s="474"/>
      <c r="X27" s="474"/>
      <c r="Y27" s="474"/>
      <c r="Z27" s="474"/>
      <c r="AA27" s="474"/>
      <c r="AB27" s="474"/>
      <c r="AC27" s="474"/>
      <c r="AD27" s="474"/>
      <c r="AE27" s="474"/>
      <c r="AF27" s="474"/>
      <c r="AG27" s="474"/>
      <c r="AH27" s="474"/>
      <c r="AI27" s="474"/>
      <c r="AJ27" s="474"/>
      <c r="AK27" s="474"/>
      <c r="AL27" s="474"/>
      <c r="AM27" s="499">
        <v>310.7</v>
      </c>
      <c r="AN27" s="475">
        <v>334.7</v>
      </c>
      <c r="AO27" s="475">
        <v>312.39999999999998</v>
      </c>
      <c r="AP27" s="475">
        <v>257.10000000000014</v>
      </c>
      <c r="AQ27" s="500">
        <f t="shared" ref="AQ27:AQ34" si="39">SUM(AM27:AP27)</f>
        <v>1214.9000000000001</v>
      </c>
      <c r="AR27" s="475"/>
      <c r="AS27" s="475"/>
      <c r="AT27" s="475"/>
      <c r="AU27" s="475"/>
      <c r="AV27" s="470"/>
      <c r="AW27" s="475">
        <v>360.4</v>
      </c>
      <c r="AX27" s="475">
        <v>376.4</v>
      </c>
      <c r="AY27" s="475">
        <v>377.20000000000005</v>
      </c>
      <c r="AZ27" s="475">
        <v>314.40000000000009</v>
      </c>
      <c r="BA27" s="478">
        <f>SUM(AW27:AZ27)</f>
        <v>1428.4</v>
      </c>
      <c r="BB27" s="499">
        <v>330.2</v>
      </c>
      <c r="BC27" s="475">
        <v>290.7</v>
      </c>
      <c r="BD27" s="475">
        <v>388.1</v>
      </c>
      <c r="BE27" s="475">
        <v>342.5</v>
      </c>
      <c r="BF27" s="500">
        <f>SUM(BB27:BE27)</f>
        <v>1351.5</v>
      </c>
      <c r="BG27" s="475">
        <v>435.8</v>
      </c>
      <c r="BH27" s="475">
        <v>535.90000000000009</v>
      </c>
      <c r="BI27" s="475">
        <v>4040.3</v>
      </c>
      <c r="BJ27" s="475">
        <f>5282.8-SUM(BG27:BI27)</f>
        <v>270.80000000000018</v>
      </c>
      <c r="BK27" s="500">
        <f>SUM(BG27:BJ27)</f>
        <v>5282.8</v>
      </c>
      <c r="BL27" s="475">
        <v>252.4</v>
      </c>
      <c r="BM27" s="469">
        <f>565.5-BL27</f>
        <v>313.10000000000002</v>
      </c>
      <c r="BN27" s="475">
        <f>1018-BM27-BL27</f>
        <v>452.5</v>
      </c>
      <c r="BO27" s="475">
        <f>1210.8-BN27-BM27-BL27</f>
        <v>192.79999999999993</v>
      </c>
      <c r="BP27" s="500">
        <f>SUM(BL27:BO27)</f>
        <v>1210.8</v>
      </c>
      <c r="BQ27" s="475">
        <v>244.6</v>
      </c>
      <c r="BR27" s="469">
        <v>209.79999999999998</v>
      </c>
      <c r="BS27" s="475">
        <v>449.5</v>
      </c>
      <c r="BT27" s="475">
        <v>95.7</v>
      </c>
      <c r="BU27" s="823">
        <f>SUM(BQ27:BT27)</f>
        <v>999.6</v>
      </c>
      <c r="BV27" s="475">
        <v>347.4</v>
      </c>
      <c r="BW27" s="475">
        <v>240.60000000000002</v>
      </c>
      <c r="BX27" s="475">
        <v>395.70000000000005</v>
      </c>
      <c r="BY27" s="475">
        <v>166.59999999999991</v>
      </c>
      <c r="BZ27" s="823">
        <f>SUM(BV27:BY27)</f>
        <v>1150.3</v>
      </c>
      <c r="CA27" s="475">
        <v>289.5</v>
      </c>
      <c r="CB27" s="475"/>
      <c r="CC27" s="475"/>
      <c r="CD27" s="475"/>
      <c r="CE27" s="823">
        <f>SUM(CA27:CD27)</f>
        <v>289.5</v>
      </c>
      <c r="CF27" s="476"/>
      <c r="CG27" s="476"/>
      <c r="CH27" s="476"/>
      <c r="CI27" s="476"/>
      <c r="CJ27" s="476"/>
      <c r="CK27" s="476"/>
      <c r="CL27" s="476"/>
      <c r="CM27" s="476"/>
      <c r="CN27" s="476"/>
      <c r="CO27" s="476"/>
      <c r="CP27" s="476"/>
      <c r="CQ27" s="476"/>
      <c r="CR27" s="476"/>
      <c r="CS27" s="476"/>
      <c r="CT27" s="476"/>
      <c r="CU27" s="476"/>
      <c r="CV27" s="476"/>
      <c r="CW27" s="476"/>
      <c r="CX27" s="476"/>
      <c r="CY27" s="476"/>
      <c r="CZ27" s="476"/>
      <c r="DA27" s="476"/>
      <c r="DB27" s="476"/>
      <c r="DC27" s="476"/>
      <c r="DD27" s="476"/>
      <c r="DE27" s="476"/>
      <c r="DF27" s="476"/>
      <c r="DG27" s="476"/>
      <c r="DH27" s="476"/>
      <c r="DI27" s="476"/>
      <c r="DJ27" s="476"/>
      <c r="DK27" s="476"/>
      <c r="DL27" s="476"/>
      <c r="DM27" s="476"/>
      <c r="DN27" s="476"/>
      <c r="DO27" s="476"/>
      <c r="DP27" s="476"/>
      <c r="DQ27" s="476"/>
      <c r="DR27" s="476"/>
      <c r="DS27" s="476"/>
      <c r="DT27" s="476"/>
      <c r="DU27" s="476"/>
      <c r="DV27" s="476"/>
      <c r="DW27" s="476"/>
      <c r="DX27" s="476"/>
      <c r="DY27" s="476"/>
      <c r="DZ27" s="476"/>
      <c r="EA27" s="476"/>
      <c r="EB27" s="476"/>
      <c r="EC27" s="476"/>
      <c r="ED27" s="476"/>
      <c r="EE27" s="476"/>
      <c r="EF27" s="476"/>
      <c r="EG27" s="476"/>
      <c r="EH27" s="476"/>
      <c r="EI27" s="476"/>
      <c r="EJ27" s="476"/>
      <c r="EK27" s="476"/>
      <c r="EL27" s="476"/>
      <c r="EM27" s="476"/>
      <c r="EN27" s="476"/>
      <c r="EO27" s="476"/>
      <c r="EP27" s="476"/>
      <c r="EQ27" s="476"/>
      <c r="ER27" s="476"/>
      <c r="ES27" s="476"/>
      <c r="ET27" s="476"/>
      <c r="EU27" s="476"/>
      <c r="EV27" s="476"/>
      <c r="EW27" s="476"/>
      <c r="EX27" s="476"/>
      <c r="EY27" s="476"/>
      <c r="EZ27" s="476"/>
      <c r="FA27" s="476"/>
      <c r="FB27" s="476"/>
      <c r="FC27" s="476"/>
      <c r="FD27" s="476"/>
      <c r="FE27" s="476"/>
      <c r="FF27" s="476"/>
      <c r="FG27" s="476"/>
      <c r="FH27" s="476"/>
      <c r="FI27" s="476"/>
      <c r="FJ27" s="476"/>
      <c r="FK27" s="476"/>
      <c r="FL27" s="476"/>
      <c r="FM27" s="476"/>
      <c r="FN27" s="476"/>
      <c r="FO27" s="476"/>
      <c r="FP27" s="476"/>
      <c r="FQ27" s="476"/>
      <c r="FR27" s="476"/>
      <c r="FS27" s="476"/>
      <c r="FT27" s="476"/>
      <c r="FU27" s="476"/>
      <c r="FV27" s="476"/>
      <c r="FW27" s="476"/>
      <c r="FX27" s="476"/>
      <c r="FY27" s="476"/>
      <c r="FZ27" s="476"/>
      <c r="GA27" s="476"/>
      <c r="GB27" s="476"/>
      <c r="GC27" s="476"/>
      <c r="GD27" s="476"/>
      <c r="GE27" s="476"/>
      <c r="GF27" s="476"/>
      <c r="GG27" s="476"/>
      <c r="GH27" s="476"/>
      <c r="GI27" s="476"/>
      <c r="GJ27" s="476"/>
      <c r="GK27" s="476"/>
      <c r="GL27" s="476"/>
      <c r="GM27" s="476"/>
      <c r="GN27" s="476"/>
      <c r="GO27" s="476"/>
      <c r="GP27" s="476"/>
      <c r="GQ27" s="476"/>
      <c r="GR27" s="476"/>
      <c r="GS27" s="476"/>
      <c r="GT27" s="476"/>
      <c r="GU27" s="476"/>
      <c r="GV27" s="476"/>
      <c r="GW27" s="476"/>
      <c r="GX27" s="476"/>
      <c r="GY27" s="476"/>
      <c r="GZ27" s="476"/>
      <c r="HA27" s="476"/>
      <c r="HB27" s="476"/>
      <c r="HC27" s="476"/>
      <c r="HD27" s="476"/>
      <c r="HE27" s="476"/>
      <c r="HF27" s="476"/>
      <c r="HG27" s="476"/>
      <c r="HH27" s="476"/>
      <c r="HI27" s="476"/>
      <c r="HJ27" s="476"/>
      <c r="HK27" s="476"/>
      <c r="HL27" s="476"/>
      <c r="HM27" s="476"/>
      <c r="HN27" s="476"/>
      <c r="HO27" s="476"/>
      <c r="HP27" s="476"/>
      <c r="HQ27" s="476"/>
      <c r="HR27" s="476"/>
      <c r="HS27" s="476"/>
      <c r="HT27" s="476"/>
      <c r="HU27" s="476"/>
      <c r="HV27" s="476"/>
      <c r="HW27" s="476"/>
      <c r="HX27" s="476"/>
      <c r="HY27" s="476"/>
      <c r="HZ27" s="476"/>
      <c r="IA27" s="476"/>
      <c r="IB27" s="476"/>
      <c r="IC27" s="476"/>
      <c r="ID27" s="476"/>
      <c r="IE27" s="476"/>
      <c r="IF27" s="476"/>
      <c r="IG27" s="476"/>
      <c r="IH27" s="476"/>
      <c r="II27" s="476"/>
      <c r="IJ27" s="476"/>
      <c r="IK27" s="476"/>
      <c r="IL27" s="476"/>
      <c r="IM27" s="476"/>
      <c r="IN27" s="476"/>
      <c r="IO27" s="476"/>
      <c r="IP27" s="476"/>
      <c r="IQ27" s="476"/>
      <c r="IR27" s="476"/>
      <c r="IS27" s="476"/>
      <c r="IT27" s="476"/>
      <c r="IU27" s="476"/>
      <c r="IV27" s="476"/>
      <c r="IW27" s="476"/>
      <c r="IX27" s="476"/>
      <c r="IY27" s="476"/>
      <c r="IZ27" s="476"/>
      <c r="JA27" s="476"/>
      <c r="JB27" s="476"/>
      <c r="JC27" s="476"/>
      <c r="JD27" s="476"/>
      <c r="JE27" s="476"/>
      <c r="JF27" s="476"/>
      <c r="JG27" s="476"/>
      <c r="JH27" s="476"/>
      <c r="JI27" s="476"/>
      <c r="JJ27" s="476"/>
      <c r="JK27" s="476"/>
      <c r="JL27" s="476"/>
      <c r="JM27" s="476"/>
      <c r="JN27" s="476"/>
      <c r="JO27" s="476"/>
      <c r="JP27" s="476"/>
      <c r="JQ27" s="476"/>
      <c r="JR27" s="476"/>
      <c r="JS27" s="476"/>
      <c r="JT27" s="476"/>
      <c r="JU27" s="476"/>
      <c r="JV27" s="476"/>
      <c r="JW27" s="476"/>
      <c r="JX27" s="476"/>
      <c r="JY27" s="476"/>
      <c r="JZ27" s="476"/>
      <c r="KA27" s="476"/>
      <c r="KB27" s="476"/>
      <c r="KC27" s="476"/>
      <c r="KD27" s="476"/>
      <c r="KE27" s="476"/>
      <c r="KF27" s="476"/>
      <c r="KG27" s="476"/>
      <c r="KH27" s="476"/>
      <c r="KI27" s="476"/>
      <c r="KJ27" s="476"/>
      <c r="KK27" s="476"/>
      <c r="KL27" s="476"/>
      <c r="KM27" s="476"/>
      <c r="KN27" s="476"/>
      <c r="KO27" s="476"/>
      <c r="KP27" s="476"/>
      <c r="KQ27" s="476"/>
      <c r="KR27" s="476"/>
      <c r="KS27" s="476"/>
      <c r="KT27" s="476"/>
      <c r="KU27" s="476"/>
      <c r="KV27" s="476"/>
      <c r="KW27" s="476"/>
      <c r="KX27" s="476"/>
      <c r="KY27" s="476"/>
      <c r="KZ27" s="476"/>
      <c r="LA27" s="476"/>
      <c r="LB27" s="476"/>
      <c r="LC27" s="476"/>
      <c r="LD27" s="476"/>
      <c r="LE27" s="476"/>
      <c r="LF27" s="476"/>
      <c r="LG27" s="476"/>
      <c r="LH27" s="476"/>
      <c r="LI27" s="476"/>
      <c r="LJ27" s="476"/>
      <c r="LK27" s="476"/>
      <c r="LL27" s="476"/>
      <c r="LM27" s="476"/>
      <c r="LN27" s="476"/>
      <c r="LO27" s="476"/>
      <c r="LP27" s="476"/>
      <c r="LQ27" s="476"/>
      <c r="LR27" s="476"/>
      <c r="LS27" s="476"/>
      <c r="LT27" s="476"/>
      <c r="LU27" s="476"/>
      <c r="LV27" s="476"/>
      <c r="LW27" s="476"/>
      <c r="LX27" s="476"/>
      <c r="LY27" s="476"/>
      <c r="LZ27" s="476"/>
      <c r="MA27" s="476"/>
      <c r="MB27" s="476"/>
      <c r="MC27" s="476"/>
      <c r="MD27" s="476"/>
      <c r="ME27" s="476"/>
      <c r="MF27" s="476"/>
      <c r="MG27" s="476"/>
      <c r="MH27" s="476"/>
      <c r="MI27" s="476"/>
      <c r="MJ27" s="476"/>
      <c r="MK27" s="476"/>
      <c r="ML27" s="476"/>
      <c r="MM27" s="476"/>
      <c r="MN27" s="476"/>
      <c r="MO27" s="476"/>
      <c r="MP27" s="476"/>
      <c r="MQ27" s="476"/>
      <c r="MR27" s="476"/>
      <c r="MS27" s="476"/>
      <c r="MT27" s="476"/>
      <c r="MU27" s="476"/>
      <c r="MV27" s="476"/>
      <c r="MW27" s="476"/>
      <c r="MX27" s="476"/>
      <c r="MY27" s="476"/>
      <c r="MZ27" s="476"/>
      <c r="NA27" s="476"/>
      <c r="NB27" s="476"/>
      <c r="NC27" s="476"/>
      <c r="ND27" s="476"/>
      <c r="NE27" s="476"/>
      <c r="NF27" s="476"/>
      <c r="NG27" s="476"/>
      <c r="NH27" s="476"/>
      <c r="NI27" s="476"/>
      <c r="NJ27" s="476"/>
      <c r="NK27" s="476"/>
      <c r="NL27" s="476"/>
      <c r="NM27" s="476"/>
      <c r="NN27" s="476"/>
      <c r="NO27" s="476"/>
      <c r="NP27" s="476"/>
      <c r="NQ27" s="476"/>
      <c r="NR27" s="476"/>
      <c r="NS27" s="476"/>
      <c r="NT27" s="476"/>
      <c r="NU27" s="476"/>
      <c r="NV27" s="476"/>
      <c r="NW27" s="476"/>
      <c r="NX27" s="476"/>
      <c r="NY27" s="476"/>
      <c r="NZ27" s="476"/>
      <c r="OA27" s="476"/>
      <c r="OB27" s="476"/>
      <c r="OC27" s="476"/>
      <c r="OD27" s="476"/>
      <c r="OE27" s="476"/>
      <c r="OF27" s="476"/>
      <c r="OG27" s="476"/>
      <c r="OH27" s="476"/>
      <c r="OI27" s="476"/>
      <c r="OJ27" s="476"/>
      <c r="OK27" s="476"/>
      <c r="OL27" s="476"/>
      <c r="OM27" s="476"/>
      <c r="ON27" s="476"/>
      <c r="OO27" s="476"/>
      <c r="OP27" s="476"/>
      <c r="OQ27" s="476"/>
      <c r="OR27" s="476"/>
      <c r="OS27" s="476"/>
      <c r="OT27" s="476"/>
      <c r="OU27" s="476"/>
      <c r="OV27" s="476"/>
      <c r="OW27" s="476"/>
      <c r="OX27" s="476"/>
      <c r="OY27" s="476"/>
      <c r="OZ27" s="476"/>
      <c r="PA27" s="476"/>
      <c r="PB27" s="476"/>
      <c r="PC27" s="476"/>
      <c r="PD27" s="476"/>
      <c r="PE27" s="476"/>
      <c r="PF27" s="476"/>
      <c r="PG27" s="476"/>
      <c r="PH27" s="476"/>
      <c r="PI27" s="476"/>
      <c r="PJ27" s="476"/>
      <c r="PK27" s="476"/>
      <c r="PL27" s="476"/>
      <c r="PM27" s="476"/>
      <c r="PN27" s="476"/>
      <c r="PO27" s="476"/>
      <c r="PP27" s="476"/>
      <c r="PQ27" s="476"/>
      <c r="PR27" s="476"/>
      <c r="PS27" s="476"/>
      <c r="PT27" s="476"/>
      <c r="PU27" s="476"/>
      <c r="PV27" s="476"/>
      <c r="PW27" s="476"/>
      <c r="PX27" s="476"/>
      <c r="PY27" s="476"/>
      <c r="PZ27" s="476"/>
      <c r="QA27" s="476"/>
      <c r="QB27" s="476"/>
      <c r="QC27" s="476"/>
      <c r="QD27" s="476"/>
      <c r="QE27" s="476"/>
      <c r="QF27" s="476"/>
      <c r="QG27" s="476"/>
      <c r="QH27" s="476"/>
      <c r="QI27" s="476"/>
      <c r="QJ27" s="476"/>
      <c r="QK27" s="476"/>
      <c r="QL27" s="476"/>
      <c r="QM27" s="476"/>
      <c r="QN27" s="476"/>
      <c r="QO27" s="476"/>
      <c r="QP27" s="476"/>
      <c r="QQ27" s="476"/>
      <c r="QR27" s="476"/>
      <c r="QS27" s="476"/>
      <c r="QT27" s="476"/>
      <c r="QU27" s="476"/>
      <c r="QV27" s="476"/>
      <c r="QW27" s="476"/>
      <c r="QX27" s="476"/>
      <c r="QY27" s="476"/>
      <c r="QZ27" s="476"/>
      <c r="RA27" s="476"/>
      <c r="RB27" s="476"/>
      <c r="RC27" s="476"/>
      <c r="RD27" s="476"/>
      <c r="RE27" s="476"/>
      <c r="RF27" s="476"/>
      <c r="RG27" s="476"/>
      <c r="RH27" s="476"/>
      <c r="RI27" s="476"/>
      <c r="RJ27" s="476"/>
      <c r="RK27" s="476"/>
      <c r="RL27" s="476"/>
      <c r="RM27" s="476"/>
      <c r="RN27" s="476"/>
      <c r="RO27" s="476"/>
      <c r="RP27" s="476"/>
      <c r="RQ27" s="476"/>
      <c r="RR27" s="476"/>
      <c r="RS27" s="476"/>
      <c r="RT27" s="476"/>
      <c r="RU27" s="476"/>
      <c r="RV27" s="476"/>
      <c r="RW27" s="476"/>
      <c r="RX27" s="476"/>
    </row>
    <row r="28" spans="1:492" s="477" customFormat="1" ht="20.149999999999999" customHeight="1">
      <c r="A28" s="489" t="s">
        <v>458</v>
      </c>
      <c r="B28" s="510" t="s">
        <v>459</v>
      </c>
      <c r="C28" s="474"/>
      <c r="D28" s="474"/>
      <c r="E28" s="474"/>
      <c r="F28" s="474"/>
      <c r="G28" s="474"/>
      <c r="H28" s="474"/>
      <c r="I28" s="474"/>
      <c r="J28" s="474"/>
      <c r="K28" s="474"/>
      <c r="L28" s="474"/>
      <c r="M28" s="474"/>
      <c r="N28" s="474"/>
      <c r="O28" s="474"/>
      <c r="P28" s="474"/>
      <c r="Q28" s="474"/>
      <c r="R28" s="474"/>
      <c r="S28" s="474"/>
      <c r="T28" s="474"/>
      <c r="U28" s="474"/>
      <c r="V28" s="474"/>
      <c r="W28" s="474"/>
      <c r="X28" s="474"/>
      <c r="Y28" s="474"/>
      <c r="Z28" s="474"/>
      <c r="AA28" s="474"/>
      <c r="AB28" s="474"/>
      <c r="AC28" s="474"/>
      <c r="AD28" s="474"/>
      <c r="AE28" s="474"/>
      <c r="AF28" s="474"/>
      <c r="AG28" s="474"/>
      <c r="AH28" s="474"/>
      <c r="AI28" s="474"/>
      <c r="AJ28" s="474"/>
      <c r="AK28" s="474"/>
      <c r="AL28" s="474"/>
      <c r="AM28" s="499">
        <v>124.8</v>
      </c>
      <c r="AN28" s="475">
        <v>140.89999999999998</v>
      </c>
      <c r="AO28" s="475">
        <v>84.100000000000023</v>
      </c>
      <c r="AP28" s="475">
        <v>162.30000000000001</v>
      </c>
      <c r="AQ28" s="500">
        <f t="shared" si="39"/>
        <v>512.1</v>
      </c>
      <c r="AR28" s="475"/>
      <c r="AS28" s="475"/>
      <c r="AT28" s="475"/>
      <c r="AU28" s="475"/>
      <c r="AV28" s="470"/>
      <c r="AW28" s="475">
        <v>130.80000000000001</v>
      </c>
      <c r="AX28" s="475">
        <v>146.09999999999997</v>
      </c>
      <c r="AY28" s="475">
        <v>81.800000000000011</v>
      </c>
      <c r="AZ28" s="475">
        <v>179.90000000000003</v>
      </c>
      <c r="BA28" s="478">
        <f>SUM(AW28:AZ28)</f>
        <v>538.6</v>
      </c>
      <c r="BB28" s="499">
        <v>132</v>
      </c>
      <c r="BC28" s="475">
        <v>103.4</v>
      </c>
      <c r="BD28" s="475">
        <v>117.79999999999998</v>
      </c>
      <c r="BE28" s="475">
        <v>181.50000000000006</v>
      </c>
      <c r="BF28" s="500">
        <f>SUM(BB28:BE28)</f>
        <v>534.70000000000005</v>
      </c>
      <c r="BG28" s="475">
        <v>125.7</v>
      </c>
      <c r="BH28" s="475">
        <v>147.80000000000001</v>
      </c>
      <c r="BI28" s="475">
        <v>91.100000000000009</v>
      </c>
      <c r="BJ28" s="475">
        <f>513.6-SUM(BG28:BI28)</f>
        <v>149</v>
      </c>
      <c r="BK28" s="500">
        <f>SUM(BG28:BJ28)</f>
        <v>513.6</v>
      </c>
      <c r="BL28" s="475">
        <v>67.900000000000006</v>
      </c>
      <c r="BM28" s="469">
        <f>182.7-BL28</f>
        <v>114.79999999999998</v>
      </c>
      <c r="BN28" s="475">
        <f>232.4-BM28-BL28</f>
        <v>49.700000000000017</v>
      </c>
      <c r="BO28" s="475">
        <f>395.2-BN28-BM28-BL28</f>
        <v>162.80000000000001</v>
      </c>
      <c r="BP28" s="500">
        <f>SUM(BL28:BO28)</f>
        <v>395.20000000000005</v>
      </c>
      <c r="BQ28" s="475">
        <v>53.9</v>
      </c>
      <c r="BR28" s="469">
        <v>118.5</v>
      </c>
      <c r="BS28" s="475">
        <v>43.500000000000007</v>
      </c>
      <c r="BT28" s="475">
        <v>100.8</v>
      </c>
      <c r="BU28" s="823">
        <f>SUM(BQ28:BT28)</f>
        <v>316.7</v>
      </c>
      <c r="BV28" s="475">
        <v>72.599999999999994</v>
      </c>
      <c r="BW28" s="475">
        <v>106.20000000000002</v>
      </c>
      <c r="BX28" s="475">
        <v>105.89999999999998</v>
      </c>
      <c r="BY28" s="475">
        <v>57.900000000000034</v>
      </c>
      <c r="BZ28" s="823">
        <f>SUM(BV28:BY28)</f>
        <v>342.6</v>
      </c>
      <c r="CA28" s="475">
        <v>85.9</v>
      </c>
      <c r="CB28" s="475"/>
      <c r="CC28" s="475"/>
      <c r="CD28" s="475"/>
      <c r="CE28" s="823">
        <f>SUM(CA28:CD28)</f>
        <v>85.9</v>
      </c>
      <c r="CF28" s="476"/>
      <c r="CG28" s="476"/>
      <c r="CH28" s="476"/>
      <c r="CI28" s="476"/>
      <c r="CJ28" s="476"/>
      <c r="CK28" s="476"/>
      <c r="CL28" s="476"/>
      <c r="CM28" s="476"/>
      <c r="CN28" s="476"/>
      <c r="CO28" s="476"/>
      <c r="CP28" s="476"/>
      <c r="CQ28" s="476"/>
      <c r="CR28" s="476"/>
      <c r="CS28" s="476"/>
      <c r="CT28" s="476"/>
      <c r="CU28" s="476"/>
      <c r="CV28" s="476"/>
      <c r="CW28" s="476"/>
      <c r="CX28" s="476"/>
      <c r="CY28" s="476"/>
      <c r="CZ28" s="476"/>
      <c r="DA28" s="476"/>
      <c r="DB28" s="476"/>
      <c r="DC28" s="476"/>
      <c r="DD28" s="476"/>
      <c r="DE28" s="476"/>
      <c r="DF28" s="476"/>
      <c r="DG28" s="476"/>
      <c r="DH28" s="476"/>
      <c r="DI28" s="476"/>
      <c r="DJ28" s="476"/>
      <c r="DK28" s="476"/>
      <c r="DL28" s="476"/>
      <c r="DM28" s="476"/>
      <c r="DN28" s="476"/>
      <c r="DO28" s="476"/>
      <c r="DP28" s="476"/>
      <c r="DQ28" s="476"/>
      <c r="DR28" s="476"/>
      <c r="DS28" s="476"/>
      <c r="DT28" s="476"/>
      <c r="DU28" s="476"/>
      <c r="DV28" s="476"/>
      <c r="DW28" s="476"/>
      <c r="DX28" s="476"/>
      <c r="DY28" s="476"/>
      <c r="DZ28" s="476"/>
      <c r="EA28" s="476"/>
      <c r="EB28" s="476"/>
      <c r="EC28" s="476"/>
      <c r="ED28" s="476"/>
      <c r="EE28" s="476"/>
      <c r="EF28" s="476"/>
      <c r="EG28" s="476"/>
      <c r="EH28" s="476"/>
      <c r="EI28" s="476"/>
      <c r="EJ28" s="476"/>
      <c r="EK28" s="476"/>
      <c r="EL28" s="476"/>
      <c r="EM28" s="476"/>
      <c r="EN28" s="476"/>
      <c r="EO28" s="476"/>
      <c r="EP28" s="476"/>
      <c r="EQ28" s="476"/>
      <c r="ER28" s="476"/>
      <c r="ES28" s="476"/>
      <c r="ET28" s="476"/>
      <c r="EU28" s="476"/>
      <c r="EV28" s="476"/>
      <c r="EW28" s="476"/>
      <c r="EX28" s="476"/>
      <c r="EY28" s="476"/>
      <c r="EZ28" s="476"/>
      <c r="FA28" s="476"/>
      <c r="FB28" s="476"/>
      <c r="FC28" s="476"/>
      <c r="FD28" s="476"/>
      <c r="FE28" s="476"/>
      <c r="FF28" s="476"/>
      <c r="FG28" s="476"/>
      <c r="FH28" s="476"/>
      <c r="FI28" s="476"/>
      <c r="FJ28" s="476"/>
      <c r="FK28" s="476"/>
      <c r="FL28" s="476"/>
      <c r="FM28" s="476"/>
      <c r="FN28" s="476"/>
      <c r="FO28" s="476"/>
      <c r="FP28" s="476"/>
      <c r="FQ28" s="476"/>
      <c r="FR28" s="476"/>
      <c r="FS28" s="476"/>
      <c r="FT28" s="476"/>
      <c r="FU28" s="476"/>
      <c r="FV28" s="476"/>
      <c r="FW28" s="476"/>
      <c r="FX28" s="476"/>
      <c r="FY28" s="476"/>
      <c r="FZ28" s="476"/>
      <c r="GA28" s="476"/>
      <c r="GB28" s="476"/>
      <c r="GC28" s="476"/>
      <c r="GD28" s="476"/>
      <c r="GE28" s="476"/>
      <c r="GF28" s="476"/>
      <c r="GG28" s="476"/>
      <c r="GH28" s="476"/>
      <c r="GI28" s="476"/>
      <c r="GJ28" s="476"/>
      <c r="GK28" s="476"/>
      <c r="GL28" s="476"/>
      <c r="GM28" s="476"/>
      <c r="GN28" s="476"/>
      <c r="GO28" s="476"/>
      <c r="GP28" s="476"/>
      <c r="GQ28" s="476"/>
      <c r="GR28" s="476"/>
      <c r="GS28" s="476"/>
      <c r="GT28" s="476"/>
      <c r="GU28" s="476"/>
      <c r="GV28" s="476"/>
      <c r="GW28" s="476"/>
      <c r="GX28" s="476"/>
      <c r="GY28" s="476"/>
      <c r="GZ28" s="476"/>
      <c r="HA28" s="476"/>
      <c r="HB28" s="476"/>
      <c r="HC28" s="476"/>
      <c r="HD28" s="476"/>
      <c r="HE28" s="476"/>
      <c r="HF28" s="476"/>
      <c r="HG28" s="476"/>
      <c r="HH28" s="476"/>
      <c r="HI28" s="476"/>
      <c r="HJ28" s="476"/>
      <c r="HK28" s="476"/>
      <c r="HL28" s="476"/>
      <c r="HM28" s="476"/>
      <c r="HN28" s="476"/>
      <c r="HO28" s="476"/>
      <c r="HP28" s="476"/>
      <c r="HQ28" s="476"/>
      <c r="HR28" s="476"/>
      <c r="HS28" s="476"/>
      <c r="HT28" s="476"/>
      <c r="HU28" s="476"/>
      <c r="HV28" s="476"/>
      <c r="HW28" s="476"/>
      <c r="HX28" s="476"/>
      <c r="HY28" s="476"/>
      <c r="HZ28" s="476"/>
      <c r="IA28" s="476"/>
      <c r="IB28" s="476"/>
      <c r="IC28" s="476"/>
      <c r="ID28" s="476"/>
      <c r="IE28" s="476"/>
      <c r="IF28" s="476"/>
      <c r="IG28" s="476"/>
      <c r="IH28" s="476"/>
      <c r="II28" s="476"/>
      <c r="IJ28" s="476"/>
      <c r="IK28" s="476"/>
      <c r="IL28" s="476"/>
      <c r="IM28" s="476"/>
      <c r="IN28" s="476"/>
      <c r="IO28" s="476"/>
      <c r="IP28" s="476"/>
      <c r="IQ28" s="476"/>
      <c r="IR28" s="476"/>
      <c r="IS28" s="476"/>
      <c r="IT28" s="476"/>
      <c r="IU28" s="476"/>
      <c r="IV28" s="476"/>
      <c r="IW28" s="476"/>
      <c r="IX28" s="476"/>
      <c r="IY28" s="476"/>
      <c r="IZ28" s="476"/>
      <c r="JA28" s="476"/>
      <c r="JB28" s="476"/>
      <c r="JC28" s="476"/>
      <c r="JD28" s="476"/>
      <c r="JE28" s="476"/>
      <c r="JF28" s="476"/>
      <c r="JG28" s="476"/>
      <c r="JH28" s="476"/>
      <c r="JI28" s="476"/>
      <c r="JJ28" s="476"/>
      <c r="JK28" s="476"/>
      <c r="JL28" s="476"/>
      <c r="JM28" s="476"/>
      <c r="JN28" s="476"/>
      <c r="JO28" s="476"/>
      <c r="JP28" s="476"/>
      <c r="JQ28" s="476"/>
      <c r="JR28" s="476"/>
      <c r="JS28" s="476"/>
      <c r="JT28" s="476"/>
      <c r="JU28" s="476"/>
      <c r="JV28" s="476"/>
      <c r="JW28" s="476"/>
      <c r="JX28" s="476"/>
      <c r="JY28" s="476"/>
      <c r="JZ28" s="476"/>
      <c r="KA28" s="476"/>
      <c r="KB28" s="476"/>
      <c r="KC28" s="476"/>
      <c r="KD28" s="476"/>
      <c r="KE28" s="476"/>
      <c r="KF28" s="476"/>
      <c r="KG28" s="476"/>
      <c r="KH28" s="476"/>
      <c r="KI28" s="476"/>
      <c r="KJ28" s="476"/>
      <c r="KK28" s="476"/>
      <c r="KL28" s="476"/>
      <c r="KM28" s="476"/>
      <c r="KN28" s="476"/>
      <c r="KO28" s="476"/>
      <c r="KP28" s="476"/>
      <c r="KQ28" s="476"/>
      <c r="KR28" s="476"/>
      <c r="KS28" s="476"/>
      <c r="KT28" s="476"/>
      <c r="KU28" s="476"/>
      <c r="KV28" s="476"/>
      <c r="KW28" s="476"/>
      <c r="KX28" s="476"/>
      <c r="KY28" s="476"/>
      <c r="KZ28" s="476"/>
      <c r="LA28" s="476"/>
      <c r="LB28" s="476"/>
      <c r="LC28" s="476"/>
      <c r="LD28" s="476"/>
      <c r="LE28" s="476"/>
      <c r="LF28" s="476"/>
      <c r="LG28" s="476"/>
      <c r="LH28" s="476"/>
      <c r="LI28" s="476"/>
      <c r="LJ28" s="476"/>
      <c r="LK28" s="476"/>
      <c r="LL28" s="476"/>
      <c r="LM28" s="476"/>
      <c r="LN28" s="476"/>
      <c r="LO28" s="476"/>
      <c r="LP28" s="476"/>
      <c r="LQ28" s="476"/>
      <c r="LR28" s="476"/>
      <c r="LS28" s="476"/>
      <c r="LT28" s="476"/>
      <c r="LU28" s="476"/>
      <c r="LV28" s="476"/>
      <c r="LW28" s="476"/>
      <c r="LX28" s="476"/>
      <c r="LY28" s="476"/>
      <c r="LZ28" s="476"/>
      <c r="MA28" s="476"/>
      <c r="MB28" s="476"/>
      <c r="MC28" s="476"/>
      <c r="MD28" s="476"/>
      <c r="ME28" s="476"/>
      <c r="MF28" s="476"/>
      <c r="MG28" s="476"/>
      <c r="MH28" s="476"/>
      <c r="MI28" s="476"/>
      <c r="MJ28" s="476"/>
      <c r="MK28" s="476"/>
      <c r="ML28" s="476"/>
      <c r="MM28" s="476"/>
      <c r="MN28" s="476"/>
      <c r="MO28" s="476"/>
      <c r="MP28" s="476"/>
      <c r="MQ28" s="476"/>
      <c r="MR28" s="476"/>
      <c r="MS28" s="476"/>
      <c r="MT28" s="476"/>
      <c r="MU28" s="476"/>
      <c r="MV28" s="476"/>
      <c r="MW28" s="476"/>
      <c r="MX28" s="476"/>
      <c r="MY28" s="476"/>
      <c r="MZ28" s="476"/>
      <c r="NA28" s="476"/>
      <c r="NB28" s="476"/>
      <c r="NC28" s="476"/>
      <c r="ND28" s="476"/>
      <c r="NE28" s="476"/>
      <c r="NF28" s="476"/>
      <c r="NG28" s="476"/>
      <c r="NH28" s="476"/>
      <c r="NI28" s="476"/>
      <c r="NJ28" s="476"/>
      <c r="NK28" s="476"/>
      <c r="NL28" s="476"/>
      <c r="NM28" s="476"/>
      <c r="NN28" s="476"/>
      <c r="NO28" s="476"/>
      <c r="NP28" s="476"/>
      <c r="NQ28" s="476"/>
      <c r="NR28" s="476"/>
      <c r="NS28" s="476"/>
      <c r="NT28" s="476"/>
      <c r="NU28" s="476"/>
      <c r="NV28" s="476"/>
      <c r="NW28" s="476"/>
      <c r="NX28" s="476"/>
      <c r="NY28" s="476"/>
      <c r="NZ28" s="476"/>
      <c r="OA28" s="476"/>
      <c r="OB28" s="476"/>
      <c r="OC28" s="476"/>
      <c r="OD28" s="476"/>
      <c r="OE28" s="476"/>
      <c r="OF28" s="476"/>
      <c r="OG28" s="476"/>
      <c r="OH28" s="476"/>
      <c r="OI28" s="476"/>
      <c r="OJ28" s="476"/>
      <c r="OK28" s="476"/>
      <c r="OL28" s="476"/>
      <c r="OM28" s="476"/>
      <c r="ON28" s="476"/>
      <c r="OO28" s="476"/>
      <c r="OP28" s="476"/>
      <c r="OQ28" s="476"/>
      <c r="OR28" s="476"/>
      <c r="OS28" s="476"/>
      <c r="OT28" s="476"/>
      <c r="OU28" s="476"/>
      <c r="OV28" s="476"/>
      <c r="OW28" s="476"/>
      <c r="OX28" s="476"/>
      <c r="OY28" s="476"/>
      <c r="OZ28" s="476"/>
      <c r="PA28" s="476"/>
      <c r="PB28" s="476"/>
      <c r="PC28" s="476"/>
      <c r="PD28" s="476"/>
      <c r="PE28" s="476"/>
      <c r="PF28" s="476"/>
      <c r="PG28" s="476"/>
      <c r="PH28" s="476"/>
      <c r="PI28" s="476"/>
      <c r="PJ28" s="476"/>
      <c r="PK28" s="476"/>
      <c r="PL28" s="476"/>
      <c r="PM28" s="476"/>
      <c r="PN28" s="476"/>
      <c r="PO28" s="476"/>
      <c r="PP28" s="476"/>
      <c r="PQ28" s="476"/>
      <c r="PR28" s="476"/>
      <c r="PS28" s="476"/>
      <c r="PT28" s="476"/>
      <c r="PU28" s="476"/>
      <c r="PV28" s="476"/>
      <c r="PW28" s="476"/>
      <c r="PX28" s="476"/>
      <c r="PY28" s="476"/>
      <c r="PZ28" s="476"/>
      <c r="QA28" s="476"/>
      <c r="QB28" s="476"/>
      <c r="QC28" s="476"/>
      <c r="QD28" s="476"/>
      <c r="QE28" s="476"/>
      <c r="QF28" s="476"/>
      <c r="QG28" s="476"/>
      <c r="QH28" s="476"/>
      <c r="QI28" s="476"/>
      <c r="QJ28" s="476"/>
      <c r="QK28" s="476"/>
      <c r="QL28" s="476"/>
      <c r="QM28" s="476"/>
      <c r="QN28" s="476"/>
      <c r="QO28" s="476"/>
      <c r="QP28" s="476"/>
      <c r="QQ28" s="476"/>
      <c r="QR28" s="476"/>
      <c r="QS28" s="476"/>
      <c r="QT28" s="476"/>
      <c r="QU28" s="476"/>
      <c r="QV28" s="476"/>
      <c r="QW28" s="476"/>
      <c r="QX28" s="476"/>
      <c r="QY28" s="476"/>
      <c r="QZ28" s="476"/>
      <c r="RA28" s="476"/>
      <c r="RB28" s="476"/>
      <c r="RC28" s="476"/>
      <c r="RD28" s="476"/>
      <c r="RE28" s="476"/>
      <c r="RF28" s="476"/>
      <c r="RG28" s="476"/>
      <c r="RH28" s="476"/>
      <c r="RI28" s="476"/>
      <c r="RJ28" s="476"/>
      <c r="RK28" s="476"/>
      <c r="RL28" s="476"/>
      <c r="RM28" s="476"/>
      <c r="RN28" s="476"/>
      <c r="RO28" s="476"/>
      <c r="RP28" s="476"/>
      <c r="RQ28" s="476"/>
      <c r="RR28" s="476"/>
      <c r="RS28" s="476"/>
      <c r="RT28" s="476"/>
      <c r="RU28" s="476"/>
      <c r="RV28" s="476"/>
      <c r="RW28" s="476"/>
      <c r="RX28" s="476"/>
    </row>
    <row r="29" spans="1:492" s="477" customFormat="1" ht="20.149999999999999" customHeight="1">
      <c r="A29" s="489" t="s">
        <v>468</v>
      </c>
      <c r="B29" s="510" t="s">
        <v>461</v>
      </c>
      <c r="C29" s="474"/>
      <c r="D29" s="474"/>
      <c r="E29" s="474"/>
      <c r="F29" s="474"/>
      <c r="G29" s="474"/>
      <c r="H29" s="474"/>
      <c r="I29" s="474"/>
      <c r="J29" s="474"/>
      <c r="K29" s="474"/>
      <c r="L29" s="474"/>
      <c r="M29" s="474"/>
      <c r="N29" s="474"/>
      <c r="O29" s="474"/>
      <c r="P29" s="474"/>
      <c r="Q29" s="474"/>
      <c r="R29" s="474"/>
      <c r="S29" s="474"/>
      <c r="T29" s="474"/>
      <c r="U29" s="474"/>
      <c r="V29" s="474"/>
      <c r="W29" s="474"/>
      <c r="X29" s="474"/>
      <c r="Y29" s="474"/>
      <c r="Z29" s="474"/>
      <c r="AA29" s="474"/>
      <c r="AB29" s="474"/>
      <c r="AC29" s="474"/>
      <c r="AD29" s="474"/>
      <c r="AE29" s="474"/>
      <c r="AF29" s="474"/>
      <c r="AG29" s="474"/>
      <c r="AH29" s="474"/>
      <c r="AI29" s="474"/>
      <c r="AJ29" s="474"/>
      <c r="AK29" s="474"/>
      <c r="AL29" s="474"/>
      <c r="AM29" s="499"/>
      <c r="AN29" s="475"/>
      <c r="AO29" s="475"/>
      <c r="AP29" s="475"/>
      <c r="AQ29" s="500"/>
      <c r="AR29" s="475"/>
      <c r="AS29" s="475"/>
      <c r="AT29" s="475"/>
      <c r="AU29" s="475"/>
      <c r="AV29" s="470"/>
      <c r="AW29" s="475"/>
      <c r="AX29" s="475"/>
      <c r="AY29" s="475"/>
      <c r="AZ29" s="475"/>
      <c r="BA29" s="478"/>
      <c r="BB29" s="499"/>
      <c r="BC29" s="475"/>
      <c r="BD29" s="475"/>
      <c r="BE29" s="475"/>
      <c r="BF29" s="500"/>
      <c r="BG29" s="475"/>
      <c r="BH29" s="475"/>
      <c r="BI29" s="475"/>
      <c r="BJ29" s="475"/>
      <c r="BK29" s="500"/>
      <c r="BL29" s="475"/>
      <c r="BM29" s="469">
        <v>0.1</v>
      </c>
      <c r="BN29" s="475">
        <f>4.5-BM29-BL29</f>
        <v>4.4000000000000004</v>
      </c>
      <c r="BO29" s="475">
        <f>41.3-BN29-BM29</f>
        <v>36.799999999999997</v>
      </c>
      <c r="BP29" s="500">
        <f t="shared" ref="BP29:BP31" si="40">SUM(BL29:BO29)</f>
        <v>41.3</v>
      </c>
      <c r="BQ29" s="475">
        <v>1.7</v>
      </c>
      <c r="BR29" s="469">
        <v>0.7</v>
      </c>
      <c r="BS29" s="475">
        <v>3.5</v>
      </c>
      <c r="BT29" s="671">
        <v>-1.4</v>
      </c>
      <c r="BU29" s="823">
        <f t="shared" ref="BU29:BU31" si="41">SUM(BQ29:BT29)</f>
        <v>4.5</v>
      </c>
      <c r="BV29" s="475">
        <v>2.4</v>
      </c>
      <c r="BW29" s="671">
        <v>-2.1999999999999997</v>
      </c>
      <c r="BX29" s="475">
        <v>7.1</v>
      </c>
      <c r="BY29" s="475">
        <v>74</v>
      </c>
      <c r="BZ29" s="823">
        <f t="shared" ref="BZ29:BZ31" si="42">SUM(BV29:BY29)</f>
        <v>81.3</v>
      </c>
      <c r="CA29" s="475">
        <v>15.5</v>
      </c>
      <c r="CB29" s="671"/>
      <c r="CC29" s="475"/>
      <c r="CD29" s="475"/>
      <c r="CE29" s="823">
        <f t="shared" ref="CE29:CE31" si="43">SUM(CA29:CD29)</f>
        <v>15.5</v>
      </c>
      <c r="CF29" s="476"/>
      <c r="CG29" s="476"/>
      <c r="CH29" s="476"/>
      <c r="CI29" s="476"/>
      <c r="CJ29" s="476"/>
      <c r="CK29" s="476"/>
      <c r="CL29" s="476"/>
      <c r="CM29" s="476"/>
      <c r="CN29" s="476"/>
      <c r="CO29" s="476"/>
      <c r="CP29" s="476"/>
      <c r="CQ29" s="476"/>
      <c r="CR29" s="476"/>
      <c r="CS29" s="476"/>
      <c r="CT29" s="476"/>
      <c r="CU29" s="476"/>
      <c r="CV29" s="476"/>
      <c r="CW29" s="476"/>
      <c r="CX29" s="476"/>
      <c r="CY29" s="476"/>
      <c r="CZ29" s="476"/>
      <c r="DA29" s="476"/>
      <c r="DB29" s="476"/>
      <c r="DC29" s="476"/>
      <c r="DD29" s="476"/>
      <c r="DE29" s="476"/>
      <c r="DF29" s="476"/>
      <c r="DG29" s="476"/>
      <c r="DH29" s="476"/>
      <c r="DI29" s="476"/>
      <c r="DJ29" s="476"/>
      <c r="DK29" s="476"/>
      <c r="DL29" s="476"/>
      <c r="DM29" s="476"/>
      <c r="DN29" s="476"/>
      <c r="DO29" s="476"/>
      <c r="DP29" s="476"/>
      <c r="DQ29" s="476"/>
      <c r="DR29" s="476"/>
      <c r="DS29" s="476"/>
      <c r="DT29" s="476"/>
      <c r="DU29" s="476"/>
      <c r="DV29" s="476"/>
      <c r="DW29" s="476"/>
      <c r="DX29" s="476"/>
      <c r="DY29" s="476"/>
      <c r="DZ29" s="476"/>
      <c r="EA29" s="476"/>
      <c r="EB29" s="476"/>
      <c r="EC29" s="476"/>
      <c r="ED29" s="476"/>
      <c r="EE29" s="476"/>
      <c r="EF29" s="476"/>
      <c r="EG29" s="476"/>
      <c r="EH29" s="476"/>
      <c r="EI29" s="476"/>
      <c r="EJ29" s="476"/>
      <c r="EK29" s="476"/>
      <c r="EL29" s="476"/>
      <c r="EM29" s="476"/>
      <c r="EN29" s="476"/>
      <c r="EO29" s="476"/>
      <c r="EP29" s="476"/>
      <c r="EQ29" s="476"/>
      <c r="ER29" s="476"/>
      <c r="ES29" s="476"/>
      <c r="ET29" s="476"/>
      <c r="EU29" s="476"/>
      <c r="EV29" s="476"/>
      <c r="EW29" s="476"/>
      <c r="EX29" s="476"/>
      <c r="EY29" s="476"/>
      <c r="EZ29" s="476"/>
      <c r="FA29" s="476"/>
      <c r="FB29" s="476"/>
      <c r="FC29" s="476"/>
      <c r="FD29" s="476"/>
      <c r="FE29" s="476"/>
      <c r="FF29" s="476"/>
      <c r="FG29" s="476"/>
      <c r="FH29" s="476"/>
      <c r="FI29" s="476"/>
      <c r="FJ29" s="476"/>
      <c r="FK29" s="476"/>
      <c r="FL29" s="476"/>
      <c r="FM29" s="476"/>
      <c r="FN29" s="476"/>
      <c r="FO29" s="476"/>
      <c r="FP29" s="476"/>
      <c r="FQ29" s="476"/>
      <c r="FR29" s="476"/>
      <c r="FS29" s="476"/>
      <c r="FT29" s="476"/>
      <c r="FU29" s="476"/>
      <c r="FV29" s="476"/>
      <c r="FW29" s="476"/>
      <c r="FX29" s="476"/>
      <c r="FY29" s="476"/>
      <c r="FZ29" s="476"/>
      <c r="GA29" s="476"/>
      <c r="GB29" s="476"/>
      <c r="GC29" s="476"/>
      <c r="GD29" s="476"/>
      <c r="GE29" s="476"/>
      <c r="GF29" s="476"/>
      <c r="GG29" s="476"/>
      <c r="GH29" s="476"/>
      <c r="GI29" s="476"/>
      <c r="GJ29" s="476"/>
      <c r="GK29" s="476"/>
      <c r="GL29" s="476"/>
      <c r="GM29" s="476"/>
      <c r="GN29" s="476"/>
      <c r="GO29" s="476"/>
      <c r="GP29" s="476"/>
      <c r="GQ29" s="476"/>
      <c r="GR29" s="476"/>
      <c r="GS29" s="476"/>
      <c r="GT29" s="476"/>
      <c r="GU29" s="476"/>
      <c r="GV29" s="476"/>
      <c r="GW29" s="476"/>
      <c r="GX29" s="476"/>
      <c r="GY29" s="476"/>
      <c r="GZ29" s="476"/>
      <c r="HA29" s="476"/>
      <c r="HB29" s="476"/>
      <c r="HC29" s="476"/>
      <c r="HD29" s="476"/>
      <c r="HE29" s="476"/>
      <c r="HF29" s="476"/>
      <c r="HG29" s="476"/>
      <c r="HH29" s="476"/>
      <c r="HI29" s="476"/>
      <c r="HJ29" s="476"/>
      <c r="HK29" s="476"/>
      <c r="HL29" s="476"/>
      <c r="HM29" s="476"/>
      <c r="HN29" s="476"/>
      <c r="HO29" s="476"/>
      <c r="HP29" s="476"/>
      <c r="HQ29" s="476"/>
      <c r="HR29" s="476"/>
      <c r="HS29" s="476"/>
      <c r="HT29" s="476"/>
      <c r="HU29" s="476"/>
      <c r="HV29" s="476"/>
      <c r="HW29" s="476"/>
      <c r="HX29" s="476"/>
      <c r="HY29" s="476"/>
      <c r="HZ29" s="476"/>
      <c r="IA29" s="476"/>
      <c r="IB29" s="476"/>
      <c r="IC29" s="476"/>
      <c r="ID29" s="476"/>
      <c r="IE29" s="476"/>
      <c r="IF29" s="476"/>
      <c r="IG29" s="476"/>
      <c r="IH29" s="476"/>
      <c r="II29" s="476"/>
      <c r="IJ29" s="476"/>
      <c r="IK29" s="476"/>
      <c r="IL29" s="476"/>
      <c r="IM29" s="476"/>
      <c r="IN29" s="476"/>
      <c r="IO29" s="476"/>
      <c r="IP29" s="476"/>
      <c r="IQ29" s="476"/>
      <c r="IR29" s="476"/>
      <c r="IS29" s="476"/>
      <c r="IT29" s="476"/>
      <c r="IU29" s="476"/>
      <c r="IV29" s="476"/>
      <c r="IW29" s="476"/>
      <c r="IX29" s="476"/>
      <c r="IY29" s="476"/>
      <c r="IZ29" s="476"/>
      <c r="JA29" s="476"/>
      <c r="JB29" s="476"/>
      <c r="JC29" s="476"/>
      <c r="JD29" s="476"/>
      <c r="JE29" s="476"/>
      <c r="JF29" s="476"/>
      <c r="JG29" s="476"/>
      <c r="JH29" s="476"/>
      <c r="JI29" s="476"/>
      <c r="JJ29" s="476"/>
      <c r="JK29" s="476"/>
      <c r="JL29" s="476"/>
      <c r="JM29" s="476"/>
      <c r="JN29" s="476"/>
      <c r="JO29" s="476"/>
      <c r="JP29" s="476"/>
      <c r="JQ29" s="476"/>
      <c r="JR29" s="476"/>
      <c r="JS29" s="476"/>
      <c r="JT29" s="476"/>
      <c r="JU29" s="476"/>
      <c r="JV29" s="476"/>
      <c r="JW29" s="476"/>
      <c r="JX29" s="476"/>
      <c r="JY29" s="476"/>
      <c r="JZ29" s="476"/>
      <c r="KA29" s="476"/>
      <c r="KB29" s="476"/>
      <c r="KC29" s="476"/>
      <c r="KD29" s="476"/>
      <c r="KE29" s="476"/>
      <c r="KF29" s="476"/>
      <c r="KG29" s="476"/>
      <c r="KH29" s="476"/>
      <c r="KI29" s="476"/>
      <c r="KJ29" s="476"/>
      <c r="KK29" s="476"/>
      <c r="KL29" s="476"/>
      <c r="KM29" s="476"/>
      <c r="KN29" s="476"/>
      <c r="KO29" s="476"/>
      <c r="KP29" s="476"/>
      <c r="KQ29" s="476"/>
      <c r="KR29" s="476"/>
      <c r="KS29" s="476"/>
      <c r="KT29" s="476"/>
      <c r="KU29" s="476"/>
      <c r="KV29" s="476"/>
      <c r="KW29" s="476"/>
      <c r="KX29" s="476"/>
      <c r="KY29" s="476"/>
      <c r="KZ29" s="476"/>
      <c r="LA29" s="476"/>
      <c r="LB29" s="476"/>
      <c r="LC29" s="476"/>
      <c r="LD29" s="476"/>
      <c r="LE29" s="476"/>
      <c r="LF29" s="476"/>
      <c r="LG29" s="476"/>
      <c r="LH29" s="476"/>
      <c r="LI29" s="476"/>
      <c r="LJ29" s="476"/>
      <c r="LK29" s="476"/>
      <c r="LL29" s="476"/>
      <c r="LM29" s="476"/>
      <c r="LN29" s="476"/>
      <c r="LO29" s="476"/>
      <c r="LP29" s="476"/>
      <c r="LQ29" s="476"/>
      <c r="LR29" s="476"/>
      <c r="LS29" s="476"/>
      <c r="LT29" s="476"/>
      <c r="LU29" s="476"/>
      <c r="LV29" s="476"/>
      <c r="LW29" s="476"/>
      <c r="LX29" s="476"/>
      <c r="LY29" s="476"/>
      <c r="LZ29" s="476"/>
      <c r="MA29" s="476"/>
      <c r="MB29" s="476"/>
      <c r="MC29" s="476"/>
      <c r="MD29" s="476"/>
      <c r="ME29" s="476"/>
      <c r="MF29" s="476"/>
      <c r="MG29" s="476"/>
      <c r="MH29" s="476"/>
      <c r="MI29" s="476"/>
      <c r="MJ29" s="476"/>
      <c r="MK29" s="476"/>
      <c r="ML29" s="476"/>
      <c r="MM29" s="476"/>
      <c r="MN29" s="476"/>
      <c r="MO29" s="476"/>
      <c r="MP29" s="476"/>
      <c r="MQ29" s="476"/>
      <c r="MR29" s="476"/>
      <c r="MS29" s="476"/>
      <c r="MT29" s="476"/>
      <c r="MU29" s="476"/>
      <c r="MV29" s="476"/>
      <c r="MW29" s="476"/>
      <c r="MX29" s="476"/>
      <c r="MY29" s="476"/>
      <c r="MZ29" s="476"/>
      <c r="NA29" s="476"/>
      <c r="NB29" s="476"/>
      <c r="NC29" s="476"/>
      <c r="ND29" s="476"/>
      <c r="NE29" s="476"/>
      <c r="NF29" s="476"/>
      <c r="NG29" s="476"/>
      <c r="NH29" s="476"/>
      <c r="NI29" s="476"/>
      <c r="NJ29" s="476"/>
      <c r="NK29" s="476"/>
      <c r="NL29" s="476"/>
      <c r="NM29" s="476"/>
      <c r="NN29" s="476"/>
      <c r="NO29" s="476"/>
      <c r="NP29" s="476"/>
      <c r="NQ29" s="476"/>
      <c r="NR29" s="476"/>
      <c r="NS29" s="476"/>
      <c r="NT29" s="476"/>
      <c r="NU29" s="476"/>
      <c r="NV29" s="476"/>
      <c r="NW29" s="476"/>
      <c r="NX29" s="476"/>
      <c r="NY29" s="476"/>
      <c r="NZ29" s="476"/>
      <c r="OA29" s="476"/>
      <c r="OB29" s="476"/>
      <c r="OC29" s="476"/>
      <c r="OD29" s="476"/>
      <c r="OE29" s="476"/>
      <c r="OF29" s="476"/>
      <c r="OG29" s="476"/>
      <c r="OH29" s="476"/>
      <c r="OI29" s="476"/>
      <c r="OJ29" s="476"/>
      <c r="OK29" s="476"/>
      <c r="OL29" s="476"/>
      <c r="OM29" s="476"/>
      <c r="ON29" s="476"/>
      <c r="OO29" s="476"/>
      <c r="OP29" s="476"/>
      <c r="OQ29" s="476"/>
      <c r="OR29" s="476"/>
      <c r="OS29" s="476"/>
      <c r="OT29" s="476"/>
      <c r="OU29" s="476"/>
      <c r="OV29" s="476"/>
      <c r="OW29" s="476"/>
      <c r="OX29" s="476"/>
      <c r="OY29" s="476"/>
      <c r="OZ29" s="476"/>
      <c r="PA29" s="476"/>
      <c r="PB29" s="476"/>
      <c r="PC29" s="476"/>
      <c r="PD29" s="476"/>
      <c r="PE29" s="476"/>
      <c r="PF29" s="476"/>
      <c r="PG29" s="476"/>
      <c r="PH29" s="476"/>
      <c r="PI29" s="476"/>
      <c r="PJ29" s="476"/>
      <c r="PK29" s="476"/>
      <c r="PL29" s="476"/>
      <c r="PM29" s="476"/>
      <c r="PN29" s="476"/>
      <c r="PO29" s="476"/>
      <c r="PP29" s="476"/>
      <c r="PQ29" s="476"/>
      <c r="PR29" s="476"/>
      <c r="PS29" s="476"/>
      <c r="PT29" s="476"/>
      <c r="PU29" s="476"/>
      <c r="PV29" s="476"/>
      <c r="PW29" s="476"/>
      <c r="PX29" s="476"/>
      <c r="PY29" s="476"/>
      <c r="PZ29" s="476"/>
      <c r="QA29" s="476"/>
      <c r="QB29" s="476"/>
      <c r="QC29" s="476"/>
      <c r="QD29" s="476"/>
      <c r="QE29" s="476"/>
      <c r="QF29" s="476"/>
      <c r="QG29" s="476"/>
      <c r="QH29" s="476"/>
      <c r="QI29" s="476"/>
      <c r="QJ29" s="476"/>
      <c r="QK29" s="476"/>
      <c r="QL29" s="476"/>
      <c r="QM29" s="476"/>
      <c r="QN29" s="476"/>
      <c r="QO29" s="476"/>
      <c r="QP29" s="476"/>
      <c r="QQ29" s="476"/>
      <c r="QR29" s="476"/>
      <c r="QS29" s="476"/>
      <c r="QT29" s="476"/>
      <c r="QU29" s="476"/>
      <c r="QV29" s="476"/>
      <c r="QW29" s="476"/>
      <c r="QX29" s="476"/>
      <c r="QY29" s="476"/>
      <c r="QZ29" s="476"/>
      <c r="RA29" s="476"/>
      <c r="RB29" s="476"/>
      <c r="RC29" s="476"/>
      <c r="RD29" s="476"/>
      <c r="RE29" s="476"/>
      <c r="RF29" s="476"/>
      <c r="RG29" s="476"/>
      <c r="RH29" s="476"/>
      <c r="RI29" s="476"/>
      <c r="RJ29" s="476"/>
      <c r="RK29" s="476"/>
      <c r="RL29" s="476"/>
      <c r="RM29" s="476"/>
      <c r="RN29" s="476"/>
      <c r="RO29" s="476"/>
      <c r="RP29" s="476"/>
      <c r="RQ29" s="476"/>
      <c r="RR29" s="476"/>
      <c r="RS29" s="476"/>
      <c r="RT29" s="476"/>
      <c r="RU29" s="476"/>
      <c r="RV29" s="476"/>
      <c r="RW29" s="476"/>
      <c r="RX29" s="476"/>
    </row>
    <row r="30" spans="1:492" s="477" customFormat="1" ht="20.149999999999999" customHeight="1">
      <c r="A30" s="489" t="s">
        <v>462</v>
      </c>
      <c r="B30" s="510" t="s">
        <v>463</v>
      </c>
      <c r="C30" s="474"/>
      <c r="D30" s="474"/>
      <c r="E30" s="474"/>
      <c r="F30" s="474"/>
      <c r="G30" s="474"/>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99"/>
      <c r="AN30" s="475"/>
      <c r="AO30" s="475"/>
      <c r="AP30" s="475"/>
      <c r="AQ30" s="500"/>
      <c r="AR30" s="475"/>
      <c r="AS30" s="475"/>
      <c r="AT30" s="475"/>
      <c r="AU30" s="475"/>
      <c r="AV30" s="470"/>
      <c r="AW30" s="475"/>
      <c r="AX30" s="475"/>
      <c r="AY30" s="475"/>
      <c r="AZ30" s="475"/>
      <c r="BA30" s="478"/>
      <c r="BB30" s="499"/>
      <c r="BC30" s="475"/>
      <c r="BD30" s="475"/>
      <c r="BE30" s="475"/>
      <c r="BF30" s="500"/>
      <c r="BG30" s="475"/>
      <c r="BH30" s="475"/>
      <c r="BI30" s="475"/>
      <c r="BJ30" s="475"/>
      <c r="BK30" s="500"/>
      <c r="BL30" s="475"/>
      <c r="BM30" s="469"/>
      <c r="BN30" s="475"/>
      <c r="BO30" s="475"/>
      <c r="BP30" s="500"/>
      <c r="BQ30" s="475"/>
      <c r="BR30" s="469"/>
      <c r="BS30" s="475">
        <v>15.7</v>
      </c>
      <c r="BT30" s="671">
        <v>-19.8</v>
      </c>
      <c r="BU30" s="826">
        <f t="shared" si="41"/>
        <v>-4.1000000000000014</v>
      </c>
      <c r="BV30" s="475">
        <v>30.3</v>
      </c>
      <c r="BW30" s="475">
        <v>51.400000000000006</v>
      </c>
      <c r="BX30" s="475">
        <v>60.8</v>
      </c>
      <c r="BY30" s="475">
        <v>49.5</v>
      </c>
      <c r="BZ30" s="823">
        <f t="shared" si="42"/>
        <v>192</v>
      </c>
      <c r="CA30" s="475">
        <v>19.399999999999999</v>
      </c>
      <c r="CB30" s="475"/>
      <c r="CC30" s="475"/>
      <c r="CD30" s="475"/>
      <c r="CE30" s="823">
        <f t="shared" si="43"/>
        <v>19.399999999999999</v>
      </c>
      <c r="CF30" s="476"/>
      <c r="CG30" s="476"/>
      <c r="CH30" s="476"/>
      <c r="CI30" s="476"/>
      <c r="CJ30" s="476"/>
      <c r="CK30" s="476"/>
      <c r="CL30" s="476"/>
      <c r="CM30" s="476"/>
      <c r="CN30" s="476"/>
      <c r="CO30" s="476"/>
      <c r="CP30" s="476"/>
      <c r="CQ30" s="476"/>
      <c r="CR30" s="476"/>
      <c r="CS30" s="476"/>
      <c r="CT30" s="476"/>
      <c r="CU30" s="476"/>
      <c r="CV30" s="476"/>
      <c r="CW30" s="476"/>
      <c r="CX30" s="476"/>
      <c r="CY30" s="476"/>
      <c r="CZ30" s="476"/>
      <c r="DA30" s="476"/>
      <c r="DB30" s="476"/>
      <c r="DC30" s="476"/>
      <c r="DD30" s="476"/>
      <c r="DE30" s="476"/>
      <c r="DF30" s="476"/>
      <c r="DG30" s="476"/>
      <c r="DH30" s="476"/>
      <c r="DI30" s="476"/>
      <c r="DJ30" s="476"/>
      <c r="DK30" s="476"/>
      <c r="DL30" s="476"/>
      <c r="DM30" s="476"/>
      <c r="DN30" s="476"/>
      <c r="DO30" s="476"/>
      <c r="DP30" s="476"/>
      <c r="DQ30" s="476"/>
      <c r="DR30" s="476"/>
      <c r="DS30" s="476"/>
      <c r="DT30" s="476"/>
      <c r="DU30" s="476"/>
      <c r="DV30" s="476"/>
      <c r="DW30" s="476"/>
      <c r="DX30" s="476"/>
      <c r="DY30" s="476"/>
      <c r="DZ30" s="476"/>
      <c r="EA30" s="476"/>
      <c r="EB30" s="476"/>
      <c r="EC30" s="476"/>
      <c r="ED30" s="476"/>
      <c r="EE30" s="476"/>
      <c r="EF30" s="476"/>
      <c r="EG30" s="476"/>
      <c r="EH30" s="476"/>
      <c r="EI30" s="476"/>
      <c r="EJ30" s="476"/>
      <c r="EK30" s="476"/>
      <c r="EL30" s="476"/>
      <c r="EM30" s="476"/>
      <c r="EN30" s="476"/>
      <c r="EO30" s="476"/>
      <c r="EP30" s="476"/>
      <c r="EQ30" s="476"/>
      <c r="ER30" s="476"/>
      <c r="ES30" s="476"/>
      <c r="ET30" s="476"/>
      <c r="EU30" s="476"/>
      <c r="EV30" s="476"/>
      <c r="EW30" s="476"/>
      <c r="EX30" s="476"/>
      <c r="EY30" s="476"/>
      <c r="EZ30" s="476"/>
      <c r="FA30" s="476"/>
      <c r="FB30" s="476"/>
      <c r="FC30" s="476"/>
      <c r="FD30" s="476"/>
      <c r="FE30" s="476"/>
      <c r="FF30" s="476"/>
      <c r="FG30" s="476"/>
      <c r="FH30" s="476"/>
      <c r="FI30" s="476"/>
      <c r="FJ30" s="476"/>
      <c r="FK30" s="476"/>
      <c r="FL30" s="476"/>
      <c r="FM30" s="476"/>
      <c r="FN30" s="476"/>
      <c r="FO30" s="476"/>
      <c r="FP30" s="476"/>
      <c r="FQ30" s="476"/>
      <c r="FR30" s="476"/>
      <c r="FS30" s="476"/>
      <c r="FT30" s="476"/>
      <c r="FU30" s="476"/>
      <c r="FV30" s="476"/>
      <c r="FW30" s="476"/>
      <c r="FX30" s="476"/>
      <c r="FY30" s="476"/>
      <c r="FZ30" s="476"/>
      <c r="GA30" s="476"/>
      <c r="GB30" s="476"/>
      <c r="GC30" s="476"/>
      <c r="GD30" s="476"/>
      <c r="GE30" s="476"/>
      <c r="GF30" s="476"/>
      <c r="GG30" s="476"/>
      <c r="GH30" s="476"/>
      <c r="GI30" s="476"/>
      <c r="GJ30" s="476"/>
      <c r="GK30" s="476"/>
      <c r="GL30" s="476"/>
      <c r="GM30" s="476"/>
      <c r="GN30" s="476"/>
      <c r="GO30" s="476"/>
      <c r="GP30" s="476"/>
      <c r="GQ30" s="476"/>
      <c r="GR30" s="476"/>
      <c r="GS30" s="476"/>
      <c r="GT30" s="476"/>
      <c r="GU30" s="476"/>
      <c r="GV30" s="476"/>
      <c r="GW30" s="476"/>
      <c r="GX30" s="476"/>
      <c r="GY30" s="476"/>
      <c r="GZ30" s="476"/>
      <c r="HA30" s="476"/>
      <c r="HB30" s="476"/>
      <c r="HC30" s="476"/>
      <c r="HD30" s="476"/>
      <c r="HE30" s="476"/>
      <c r="HF30" s="476"/>
      <c r="HG30" s="476"/>
      <c r="HH30" s="476"/>
      <c r="HI30" s="476"/>
      <c r="HJ30" s="476"/>
      <c r="HK30" s="476"/>
      <c r="HL30" s="476"/>
      <c r="HM30" s="476"/>
      <c r="HN30" s="476"/>
      <c r="HO30" s="476"/>
      <c r="HP30" s="476"/>
      <c r="HQ30" s="476"/>
      <c r="HR30" s="476"/>
      <c r="HS30" s="476"/>
      <c r="HT30" s="476"/>
      <c r="HU30" s="476"/>
      <c r="HV30" s="476"/>
      <c r="HW30" s="476"/>
      <c r="HX30" s="476"/>
      <c r="HY30" s="476"/>
      <c r="HZ30" s="476"/>
      <c r="IA30" s="476"/>
      <c r="IB30" s="476"/>
      <c r="IC30" s="476"/>
      <c r="ID30" s="476"/>
      <c r="IE30" s="476"/>
      <c r="IF30" s="476"/>
      <c r="IG30" s="476"/>
      <c r="IH30" s="476"/>
      <c r="II30" s="476"/>
      <c r="IJ30" s="476"/>
      <c r="IK30" s="476"/>
      <c r="IL30" s="476"/>
      <c r="IM30" s="476"/>
      <c r="IN30" s="476"/>
      <c r="IO30" s="476"/>
      <c r="IP30" s="476"/>
      <c r="IQ30" s="476"/>
      <c r="IR30" s="476"/>
      <c r="IS30" s="476"/>
      <c r="IT30" s="476"/>
      <c r="IU30" s="476"/>
      <c r="IV30" s="476"/>
      <c r="IW30" s="476"/>
      <c r="IX30" s="476"/>
      <c r="IY30" s="476"/>
      <c r="IZ30" s="476"/>
      <c r="JA30" s="476"/>
      <c r="JB30" s="476"/>
      <c r="JC30" s="476"/>
      <c r="JD30" s="476"/>
      <c r="JE30" s="476"/>
      <c r="JF30" s="476"/>
      <c r="JG30" s="476"/>
      <c r="JH30" s="476"/>
      <c r="JI30" s="476"/>
      <c r="JJ30" s="476"/>
      <c r="JK30" s="476"/>
      <c r="JL30" s="476"/>
      <c r="JM30" s="476"/>
      <c r="JN30" s="476"/>
      <c r="JO30" s="476"/>
      <c r="JP30" s="476"/>
      <c r="JQ30" s="476"/>
      <c r="JR30" s="476"/>
      <c r="JS30" s="476"/>
      <c r="JT30" s="476"/>
      <c r="JU30" s="476"/>
      <c r="JV30" s="476"/>
      <c r="JW30" s="476"/>
      <c r="JX30" s="476"/>
      <c r="JY30" s="476"/>
      <c r="JZ30" s="476"/>
      <c r="KA30" s="476"/>
      <c r="KB30" s="476"/>
      <c r="KC30" s="476"/>
      <c r="KD30" s="476"/>
      <c r="KE30" s="476"/>
      <c r="KF30" s="476"/>
      <c r="KG30" s="476"/>
      <c r="KH30" s="476"/>
      <c r="KI30" s="476"/>
      <c r="KJ30" s="476"/>
      <c r="KK30" s="476"/>
      <c r="KL30" s="476"/>
      <c r="KM30" s="476"/>
      <c r="KN30" s="476"/>
      <c r="KO30" s="476"/>
      <c r="KP30" s="476"/>
      <c r="KQ30" s="476"/>
      <c r="KR30" s="476"/>
      <c r="KS30" s="476"/>
      <c r="KT30" s="476"/>
      <c r="KU30" s="476"/>
      <c r="KV30" s="476"/>
      <c r="KW30" s="476"/>
      <c r="KX30" s="476"/>
      <c r="KY30" s="476"/>
      <c r="KZ30" s="476"/>
      <c r="LA30" s="476"/>
      <c r="LB30" s="476"/>
      <c r="LC30" s="476"/>
      <c r="LD30" s="476"/>
      <c r="LE30" s="476"/>
      <c r="LF30" s="476"/>
      <c r="LG30" s="476"/>
      <c r="LH30" s="476"/>
      <c r="LI30" s="476"/>
      <c r="LJ30" s="476"/>
      <c r="LK30" s="476"/>
      <c r="LL30" s="476"/>
      <c r="LM30" s="476"/>
      <c r="LN30" s="476"/>
      <c r="LO30" s="476"/>
      <c r="LP30" s="476"/>
      <c r="LQ30" s="476"/>
      <c r="LR30" s="476"/>
      <c r="LS30" s="476"/>
      <c r="LT30" s="476"/>
      <c r="LU30" s="476"/>
      <c r="LV30" s="476"/>
      <c r="LW30" s="476"/>
      <c r="LX30" s="476"/>
      <c r="LY30" s="476"/>
      <c r="LZ30" s="476"/>
      <c r="MA30" s="476"/>
      <c r="MB30" s="476"/>
      <c r="MC30" s="476"/>
      <c r="MD30" s="476"/>
      <c r="ME30" s="476"/>
      <c r="MF30" s="476"/>
      <c r="MG30" s="476"/>
      <c r="MH30" s="476"/>
      <c r="MI30" s="476"/>
      <c r="MJ30" s="476"/>
      <c r="MK30" s="476"/>
      <c r="ML30" s="476"/>
      <c r="MM30" s="476"/>
      <c r="MN30" s="476"/>
      <c r="MO30" s="476"/>
      <c r="MP30" s="476"/>
      <c r="MQ30" s="476"/>
      <c r="MR30" s="476"/>
      <c r="MS30" s="476"/>
      <c r="MT30" s="476"/>
      <c r="MU30" s="476"/>
      <c r="MV30" s="476"/>
      <c r="MW30" s="476"/>
      <c r="MX30" s="476"/>
      <c r="MY30" s="476"/>
      <c r="MZ30" s="476"/>
      <c r="NA30" s="476"/>
      <c r="NB30" s="476"/>
      <c r="NC30" s="476"/>
      <c r="ND30" s="476"/>
      <c r="NE30" s="476"/>
      <c r="NF30" s="476"/>
      <c r="NG30" s="476"/>
      <c r="NH30" s="476"/>
      <c r="NI30" s="476"/>
      <c r="NJ30" s="476"/>
      <c r="NK30" s="476"/>
      <c r="NL30" s="476"/>
      <c r="NM30" s="476"/>
      <c r="NN30" s="476"/>
      <c r="NO30" s="476"/>
      <c r="NP30" s="476"/>
      <c r="NQ30" s="476"/>
      <c r="NR30" s="476"/>
      <c r="NS30" s="476"/>
      <c r="NT30" s="476"/>
      <c r="NU30" s="476"/>
      <c r="NV30" s="476"/>
      <c r="NW30" s="476"/>
      <c r="NX30" s="476"/>
      <c r="NY30" s="476"/>
      <c r="NZ30" s="476"/>
      <c r="OA30" s="476"/>
      <c r="OB30" s="476"/>
      <c r="OC30" s="476"/>
      <c r="OD30" s="476"/>
      <c r="OE30" s="476"/>
      <c r="OF30" s="476"/>
      <c r="OG30" s="476"/>
      <c r="OH30" s="476"/>
      <c r="OI30" s="476"/>
      <c r="OJ30" s="476"/>
      <c r="OK30" s="476"/>
      <c r="OL30" s="476"/>
      <c r="OM30" s="476"/>
      <c r="ON30" s="476"/>
      <c r="OO30" s="476"/>
      <c r="OP30" s="476"/>
      <c r="OQ30" s="476"/>
      <c r="OR30" s="476"/>
      <c r="OS30" s="476"/>
      <c r="OT30" s="476"/>
      <c r="OU30" s="476"/>
      <c r="OV30" s="476"/>
      <c r="OW30" s="476"/>
      <c r="OX30" s="476"/>
      <c r="OY30" s="476"/>
      <c r="OZ30" s="476"/>
      <c r="PA30" s="476"/>
      <c r="PB30" s="476"/>
      <c r="PC30" s="476"/>
      <c r="PD30" s="476"/>
      <c r="PE30" s="476"/>
      <c r="PF30" s="476"/>
      <c r="PG30" s="476"/>
      <c r="PH30" s="476"/>
      <c r="PI30" s="476"/>
      <c r="PJ30" s="476"/>
      <c r="PK30" s="476"/>
      <c r="PL30" s="476"/>
      <c r="PM30" s="476"/>
      <c r="PN30" s="476"/>
      <c r="PO30" s="476"/>
      <c r="PP30" s="476"/>
      <c r="PQ30" s="476"/>
      <c r="PR30" s="476"/>
      <c r="PS30" s="476"/>
      <c r="PT30" s="476"/>
      <c r="PU30" s="476"/>
      <c r="PV30" s="476"/>
      <c r="PW30" s="476"/>
      <c r="PX30" s="476"/>
      <c r="PY30" s="476"/>
      <c r="PZ30" s="476"/>
      <c r="QA30" s="476"/>
      <c r="QB30" s="476"/>
      <c r="QC30" s="476"/>
      <c r="QD30" s="476"/>
      <c r="QE30" s="476"/>
      <c r="QF30" s="476"/>
      <c r="QG30" s="476"/>
      <c r="QH30" s="476"/>
      <c r="QI30" s="476"/>
      <c r="QJ30" s="476"/>
      <c r="QK30" s="476"/>
      <c r="QL30" s="476"/>
      <c r="QM30" s="476"/>
      <c r="QN30" s="476"/>
      <c r="QO30" s="476"/>
      <c r="QP30" s="476"/>
      <c r="QQ30" s="476"/>
      <c r="QR30" s="476"/>
      <c r="QS30" s="476"/>
      <c r="QT30" s="476"/>
      <c r="QU30" s="476"/>
      <c r="QV30" s="476"/>
      <c r="QW30" s="476"/>
      <c r="QX30" s="476"/>
      <c r="QY30" s="476"/>
      <c r="QZ30" s="476"/>
      <c r="RA30" s="476"/>
      <c r="RB30" s="476"/>
      <c r="RC30" s="476"/>
      <c r="RD30" s="476"/>
      <c r="RE30" s="476"/>
      <c r="RF30" s="476"/>
      <c r="RG30" s="476"/>
      <c r="RH30" s="476"/>
      <c r="RI30" s="476"/>
      <c r="RJ30" s="476"/>
      <c r="RK30" s="476"/>
      <c r="RL30" s="476"/>
      <c r="RM30" s="476"/>
      <c r="RN30" s="476"/>
      <c r="RO30" s="476"/>
      <c r="RP30" s="476"/>
      <c r="RQ30" s="476"/>
      <c r="RR30" s="476"/>
      <c r="RS30" s="476"/>
      <c r="RT30" s="476"/>
      <c r="RU30" s="476"/>
      <c r="RV30" s="476"/>
      <c r="RW30" s="476"/>
      <c r="RX30" s="476"/>
    </row>
    <row r="31" spans="1:492" s="477" customFormat="1" ht="20.149999999999999" customHeight="1" thickBot="1">
      <c r="A31" s="489" t="s">
        <v>464</v>
      </c>
      <c r="B31" s="510" t="s">
        <v>465</v>
      </c>
      <c r="C31" s="474"/>
      <c r="D31" s="474"/>
      <c r="E31" s="474"/>
      <c r="F31" s="474"/>
      <c r="G31" s="474"/>
      <c r="H31" s="474"/>
      <c r="I31" s="474"/>
      <c r="J31" s="474"/>
      <c r="K31" s="474"/>
      <c r="L31" s="474"/>
      <c r="M31" s="474"/>
      <c r="N31" s="474"/>
      <c r="O31" s="474"/>
      <c r="P31" s="474"/>
      <c r="Q31" s="474"/>
      <c r="R31" s="474"/>
      <c r="S31" s="474"/>
      <c r="T31" s="474"/>
      <c r="U31" s="474"/>
      <c r="V31" s="474"/>
      <c r="W31" s="474"/>
      <c r="X31" s="474"/>
      <c r="Y31" s="474"/>
      <c r="Z31" s="474"/>
      <c r="AA31" s="474"/>
      <c r="AB31" s="474"/>
      <c r="AC31" s="474"/>
      <c r="AD31" s="474"/>
      <c r="AE31" s="474"/>
      <c r="AF31" s="474"/>
      <c r="AG31" s="474"/>
      <c r="AH31" s="474"/>
      <c r="AI31" s="474"/>
      <c r="AJ31" s="474"/>
      <c r="AK31" s="474"/>
      <c r="AL31" s="474"/>
      <c r="AM31" s="499"/>
      <c r="AN31" s="475"/>
      <c r="AO31" s="475"/>
      <c r="AP31" s="475"/>
      <c r="AQ31" s="500"/>
      <c r="AR31" s="475"/>
      <c r="AS31" s="475"/>
      <c r="AT31" s="475"/>
      <c r="AU31" s="475"/>
      <c r="AV31" s="470"/>
      <c r="AW31" s="475"/>
      <c r="AX31" s="475"/>
      <c r="AY31" s="475"/>
      <c r="AZ31" s="475"/>
      <c r="BA31" s="478"/>
      <c r="BB31" s="499"/>
      <c r="BC31" s="475"/>
      <c r="BD31" s="475"/>
      <c r="BE31" s="475"/>
      <c r="BF31" s="500"/>
      <c r="BG31" s="475"/>
      <c r="BH31" s="475"/>
      <c r="BI31" s="475"/>
      <c r="BJ31" s="475"/>
      <c r="BK31" s="500"/>
      <c r="BL31" s="475"/>
      <c r="BM31" s="671">
        <v>-2.2000000000000002</v>
      </c>
      <c r="BN31" s="671">
        <f>-7.9-BM31-BL31</f>
        <v>-5.7</v>
      </c>
      <c r="BO31" s="475">
        <f>-5.1-BN31-BM31</f>
        <v>2.8000000000000007</v>
      </c>
      <c r="BP31" s="515">
        <f t="shared" si="40"/>
        <v>-5.0999999999999996</v>
      </c>
      <c r="BQ31" s="671">
        <v>-1.5</v>
      </c>
      <c r="BR31" s="671">
        <v>0.8</v>
      </c>
      <c r="BS31" s="671">
        <v>-1.2999999999999998</v>
      </c>
      <c r="BT31" s="671">
        <v>-3.1</v>
      </c>
      <c r="BU31" s="826">
        <f t="shared" si="41"/>
        <v>-5.0999999999999996</v>
      </c>
      <c r="BV31" s="671"/>
      <c r="BW31" s="671"/>
      <c r="BX31" s="671"/>
      <c r="BY31" s="671"/>
      <c r="BZ31" s="826">
        <f t="shared" si="42"/>
        <v>0</v>
      </c>
      <c r="CA31" s="671"/>
      <c r="CB31" s="671"/>
      <c r="CC31" s="671"/>
      <c r="CD31" s="671"/>
      <c r="CE31" s="826">
        <f t="shared" si="43"/>
        <v>0</v>
      </c>
      <c r="CF31" s="476"/>
      <c r="CG31" s="476"/>
      <c r="CH31" s="476"/>
      <c r="CI31" s="476"/>
      <c r="CJ31" s="476"/>
      <c r="CK31" s="476"/>
      <c r="CL31" s="476"/>
      <c r="CM31" s="476"/>
      <c r="CN31" s="476"/>
      <c r="CO31" s="476"/>
      <c r="CP31" s="476"/>
      <c r="CQ31" s="476"/>
      <c r="CR31" s="476"/>
      <c r="CS31" s="476"/>
      <c r="CT31" s="476"/>
      <c r="CU31" s="476"/>
      <c r="CV31" s="476"/>
      <c r="CW31" s="476"/>
      <c r="CX31" s="476"/>
      <c r="CY31" s="476"/>
      <c r="CZ31" s="476"/>
      <c r="DA31" s="476"/>
      <c r="DB31" s="476"/>
      <c r="DC31" s="476"/>
      <c r="DD31" s="476"/>
      <c r="DE31" s="476"/>
      <c r="DF31" s="476"/>
      <c r="DG31" s="476"/>
      <c r="DH31" s="476"/>
      <c r="DI31" s="476"/>
      <c r="DJ31" s="476"/>
      <c r="DK31" s="476"/>
      <c r="DL31" s="476"/>
      <c r="DM31" s="476"/>
      <c r="DN31" s="476"/>
      <c r="DO31" s="476"/>
      <c r="DP31" s="476"/>
      <c r="DQ31" s="476"/>
      <c r="DR31" s="476"/>
      <c r="DS31" s="476"/>
      <c r="DT31" s="476"/>
      <c r="DU31" s="476"/>
      <c r="DV31" s="476"/>
      <c r="DW31" s="476"/>
      <c r="DX31" s="476"/>
      <c r="DY31" s="476"/>
      <c r="DZ31" s="476"/>
      <c r="EA31" s="476"/>
      <c r="EB31" s="476"/>
      <c r="EC31" s="476"/>
      <c r="ED31" s="476"/>
      <c r="EE31" s="476"/>
      <c r="EF31" s="476"/>
      <c r="EG31" s="476"/>
      <c r="EH31" s="476"/>
      <c r="EI31" s="476"/>
      <c r="EJ31" s="476"/>
      <c r="EK31" s="476"/>
      <c r="EL31" s="476"/>
      <c r="EM31" s="476"/>
      <c r="EN31" s="476"/>
      <c r="EO31" s="476"/>
      <c r="EP31" s="476"/>
      <c r="EQ31" s="476"/>
      <c r="ER31" s="476"/>
      <c r="ES31" s="476"/>
      <c r="ET31" s="476"/>
      <c r="EU31" s="476"/>
      <c r="EV31" s="476"/>
      <c r="EW31" s="476"/>
      <c r="EX31" s="476"/>
      <c r="EY31" s="476"/>
      <c r="EZ31" s="476"/>
      <c r="FA31" s="476"/>
      <c r="FB31" s="476"/>
      <c r="FC31" s="476"/>
      <c r="FD31" s="476"/>
      <c r="FE31" s="476"/>
      <c r="FF31" s="476"/>
      <c r="FG31" s="476"/>
      <c r="FH31" s="476"/>
      <c r="FI31" s="476"/>
      <c r="FJ31" s="476"/>
      <c r="FK31" s="476"/>
      <c r="FL31" s="476"/>
      <c r="FM31" s="476"/>
      <c r="FN31" s="476"/>
      <c r="FO31" s="476"/>
      <c r="FP31" s="476"/>
      <c r="FQ31" s="476"/>
      <c r="FR31" s="476"/>
      <c r="FS31" s="476"/>
      <c r="FT31" s="476"/>
      <c r="FU31" s="476"/>
      <c r="FV31" s="476"/>
      <c r="FW31" s="476"/>
      <c r="FX31" s="476"/>
      <c r="FY31" s="476"/>
      <c r="FZ31" s="476"/>
      <c r="GA31" s="476"/>
      <c r="GB31" s="476"/>
      <c r="GC31" s="476"/>
      <c r="GD31" s="476"/>
      <c r="GE31" s="476"/>
      <c r="GF31" s="476"/>
      <c r="GG31" s="476"/>
      <c r="GH31" s="476"/>
      <c r="GI31" s="476"/>
      <c r="GJ31" s="476"/>
      <c r="GK31" s="476"/>
      <c r="GL31" s="476"/>
      <c r="GM31" s="476"/>
      <c r="GN31" s="476"/>
      <c r="GO31" s="476"/>
      <c r="GP31" s="476"/>
      <c r="GQ31" s="476"/>
      <c r="GR31" s="476"/>
      <c r="GS31" s="476"/>
      <c r="GT31" s="476"/>
      <c r="GU31" s="476"/>
      <c r="GV31" s="476"/>
      <c r="GW31" s="476"/>
      <c r="GX31" s="476"/>
      <c r="GY31" s="476"/>
      <c r="GZ31" s="476"/>
      <c r="HA31" s="476"/>
      <c r="HB31" s="476"/>
      <c r="HC31" s="476"/>
      <c r="HD31" s="476"/>
      <c r="HE31" s="476"/>
      <c r="HF31" s="476"/>
      <c r="HG31" s="476"/>
      <c r="HH31" s="476"/>
      <c r="HI31" s="476"/>
      <c r="HJ31" s="476"/>
      <c r="HK31" s="476"/>
      <c r="HL31" s="476"/>
      <c r="HM31" s="476"/>
      <c r="HN31" s="476"/>
      <c r="HO31" s="476"/>
      <c r="HP31" s="476"/>
      <c r="HQ31" s="476"/>
      <c r="HR31" s="476"/>
      <c r="HS31" s="476"/>
      <c r="HT31" s="476"/>
      <c r="HU31" s="476"/>
      <c r="HV31" s="476"/>
      <c r="HW31" s="476"/>
      <c r="HX31" s="476"/>
      <c r="HY31" s="476"/>
      <c r="HZ31" s="476"/>
      <c r="IA31" s="476"/>
      <c r="IB31" s="476"/>
      <c r="IC31" s="476"/>
      <c r="ID31" s="476"/>
      <c r="IE31" s="476"/>
      <c r="IF31" s="476"/>
      <c r="IG31" s="476"/>
      <c r="IH31" s="476"/>
      <c r="II31" s="476"/>
      <c r="IJ31" s="476"/>
      <c r="IK31" s="476"/>
      <c r="IL31" s="476"/>
      <c r="IM31" s="476"/>
      <c r="IN31" s="476"/>
      <c r="IO31" s="476"/>
      <c r="IP31" s="476"/>
      <c r="IQ31" s="476"/>
      <c r="IR31" s="476"/>
      <c r="IS31" s="476"/>
      <c r="IT31" s="476"/>
      <c r="IU31" s="476"/>
      <c r="IV31" s="476"/>
      <c r="IW31" s="476"/>
      <c r="IX31" s="476"/>
      <c r="IY31" s="476"/>
      <c r="IZ31" s="476"/>
      <c r="JA31" s="476"/>
      <c r="JB31" s="476"/>
      <c r="JC31" s="476"/>
      <c r="JD31" s="476"/>
      <c r="JE31" s="476"/>
      <c r="JF31" s="476"/>
      <c r="JG31" s="476"/>
      <c r="JH31" s="476"/>
      <c r="JI31" s="476"/>
      <c r="JJ31" s="476"/>
      <c r="JK31" s="476"/>
      <c r="JL31" s="476"/>
      <c r="JM31" s="476"/>
      <c r="JN31" s="476"/>
      <c r="JO31" s="476"/>
      <c r="JP31" s="476"/>
      <c r="JQ31" s="476"/>
      <c r="JR31" s="476"/>
      <c r="JS31" s="476"/>
      <c r="JT31" s="476"/>
      <c r="JU31" s="476"/>
      <c r="JV31" s="476"/>
      <c r="JW31" s="476"/>
      <c r="JX31" s="476"/>
      <c r="JY31" s="476"/>
      <c r="JZ31" s="476"/>
      <c r="KA31" s="476"/>
      <c r="KB31" s="476"/>
      <c r="KC31" s="476"/>
      <c r="KD31" s="476"/>
      <c r="KE31" s="476"/>
      <c r="KF31" s="476"/>
      <c r="KG31" s="476"/>
      <c r="KH31" s="476"/>
      <c r="KI31" s="476"/>
      <c r="KJ31" s="476"/>
      <c r="KK31" s="476"/>
      <c r="KL31" s="476"/>
      <c r="KM31" s="476"/>
      <c r="KN31" s="476"/>
      <c r="KO31" s="476"/>
      <c r="KP31" s="476"/>
      <c r="KQ31" s="476"/>
      <c r="KR31" s="476"/>
      <c r="KS31" s="476"/>
      <c r="KT31" s="476"/>
      <c r="KU31" s="476"/>
      <c r="KV31" s="476"/>
      <c r="KW31" s="476"/>
      <c r="KX31" s="476"/>
      <c r="KY31" s="476"/>
      <c r="KZ31" s="476"/>
      <c r="LA31" s="476"/>
      <c r="LB31" s="476"/>
      <c r="LC31" s="476"/>
      <c r="LD31" s="476"/>
      <c r="LE31" s="476"/>
      <c r="LF31" s="476"/>
      <c r="LG31" s="476"/>
      <c r="LH31" s="476"/>
      <c r="LI31" s="476"/>
      <c r="LJ31" s="476"/>
      <c r="LK31" s="476"/>
      <c r="LL31" s="476"/>
      <c r="LM31" s="476"/>
      <c r="LN31" s="476"/>
      <c r="LO31" s="476"/>
      <c r="LP31" s="476"/>
      <c r="LQ31" s="476"/>
      <c r="LR31" s="476"/>
      <c r="LS31" s="476"/>
      <c r="LT31" s="476"/>
      <c r="LU31" s="476"/>
      <c r="LV31" s="476"/>
      <c r="LW31" s="476"/>
      <c r="LX31" s="476"/>
      <c r="LY31" s="476"/>
      <c r="LZ31" s="476"/>
      <c r="MA31" s="476"/>
      <c r="MB31" s="476"/>
      <c r="MC31" s="476"/>
      <c r="MD31" s="476"/>
      <c r="ME31" s="476"/>
      <c r="MF31" s="476"/>
      <c r="MG31" s="476"/>
      <c r="MH31" s="476"/>
      <c r="MI31" s="476"/>
      <c r="MJ31" s="476"/>
      <c r="MK31" s="476"/>
      <c r="ML31" s="476"/>
      <c r="MM31" s="476"/>
      <c r="MN31" s="476"/>
      <c r="MO31" s="476"/>
      <c r="MP31" s="476"/>
      <c r="MQ31" s="476"/>
      <c r="MR31" s="476"/>
      <c r="MS31" s="476"/>
      <c r="MT31" s="476"/>
      <c r="MU31" s="476"/>
      <c r="MV31" s="476"/>
      <c r="MW31" s="476"/>
      <c r="MX31" s="476"/>
      <c r="MY31" s="476"/>
      <c r="MZ31" s="476"/>
      <c r="NA31" s="476"/>
      <c r="NB31" s="476"/>
      <c r="NC31" s="476"/>
      <c r="ND31" s="476"/>
      <c r="NE31" s="476"/>
      <c r="NF31" s="476"/>
      <c r="NG31" s="476"/>
      <c r="NH31" s="476"/>
      <c r="NI31" s="476"/>
      <c r="NJ31" s="476"/>
      <c r="NK31" s="476"/>
      <c r="NL31" s="476"/>
      <c r="NM31" s="476"/>
      <c r="NN31" s="476"/>
      <c r="NO31" s="476"/>
      <c r="NP31" s="476"/>
      <c r="NQ31" s="476"/>
      <c r="NR31" s="476"/>
      <c r="NS31" s="476"/>
      <c r="NT31" s="476"/>
      <c r="NU31" s="476"/>
      <c r="NV31" s="476"/>
      <c r="NW31" s="476"/>
      <c r="NX31" s="476"/>
      <c r="NY31" s="476"/>
      <c r="NZ31" s="476"/>
      <c r="OA31" s="476"/>
      <c r="OB31" s="476"/>
      <c r="OC31" s="476"/>
      <c r="OD31" s="476"/>
      <c r="OE31" s="476"/>
      <c r="OF31" s="476"/>
      <c r="OG31" s="476"/>
      <c r="OH31" s="476"/>
      <c r="OI31" s="476"/>
      <c r="OJ31" s="476"/>
      <c r="OK31" s="476"/>
      <c r="OL31" s="476"/>
      <c r="OM31" s="476"/>
      <c r="ON31" s="476"/>
      <c r="OO31" s="476"/>
      <c r="OP31" s="476"/>
      <c r="OQ31" s="476"/>
      <c r="OR31" s="476"/>
      <c r="OS31" s="476"/>
      <c r="OT31" s="476"/>
      <c r="OU31" s="476"/>
      <c r="OV31" s="476"/>
      <c r="OW31" s="476"/>
      <c r="OX31" s="476"/>
      <c r="OY31" s="476"/>
      <c r="OZ31" s="476"/>
      <c r="PA31" s="476"/>
      <c r="PB31" s="476"/>
      <c r="PC31" s="476"/>
      <c r="PD31" s="476"/>
      <c r="PE31" s="476"/>
      <c r="PF31" s="476"/>
      <c r="PG31" s="476"/>
      <c r="PH31" s="476"/>
      <c r="PI31" s="476"/>
      <c r="PJ31" s="476"/>
      <c r="PK31" s="476"/>
      <c r="PL31" s="476"/>
      <c r="PM31" s="476"/>
      <c r="PN31" s="476"/>
      <c r="PO31" s="476"/>
      <c r="PP31" s="476"/>
      <c r="PQ31" s="476"/>
      <c r="PR31" s="476"/>
      <c r="PS31" s="476"/>
      <c r="PT31" s="476"/>
      <c r="PU31" s="476"/>
      <c r="PV31" s="476"/>
      <c r="PW31" s="476"/>
      <c r="PX31" s="476"/>
      <c r="PY31" s="476"/>
      <c r="PZ31" s="476"/>
      <c r="QA31" s="476"/>
      <c r="QB31" s="476"/>
      <c r="QC31" s="476"/>
      <c r="QD31" s="476"/>
      <c r="QE31" s="476"/>
      <c r="QF31" s="476"/>
      <c r="QG31" s="476"/>
      <c r="QH31" s="476"/>
      <c r="QI31" s="476"/>
      <c r="QJ31" s="476"/>
      <c r="QK31" s="476"/>
      <c r="QL31" s="476"/>
      <c r="QM31" s="476"/>
      <c r="QN31" s="476"/>
      <c r="QO31" s="476"/>
      <c r="QP31" s="476"/>
      <c r="QQ31" s="476"/>
      <c r="QR31" s="476"/>
      <c r="QS31" s="476"/>
      <c r="QT31" s="476"/>
      <c r="QU31" s="476"/>
      <c r="QV31" s="476"/>
      <c r="QW31" s="476"/>
      <c r="QX31" s="476"/>
      <c r="QY31" s="476"/>
      <c r="QZ31" s="476"/>
      <c r="RA31" s="476"/>
      <c r="RB31" s="476"/>
      <c r="RC31" s="476"/>
      <c r="RD31" s="476"/>
      <c r="RE31" s="476"/>
      <c r="RF31" s="476"/>
      <c r="RG31" s="476"/>
      <c r="RH31" s="476"/>
      <c r="RI31" s="476"/>
      <c r="RJ31" s="476"/>
      <c r="RK31" s="476"/>
      <c r="RL31" s="476"/>
      <c r="RM31" s="476"/>
      <c r="RN31" s="476"/>
      <c r="RO31" s="476"/>
      <c r="RP31" s="476"/>
      <c r="RQ31" s="476"/>
      <c r="RR31" s="476"/>
      <c r="RS31" s="476"/>
      <c r="RT31" s="476"/>
      <c r="RU31" s="476"/>
      <c r="RV31" s="476"/>
      <c r="RW31" s="476"/>
      <c r="RX31" s="476"/>
    </row>
    <row r="32" spans="1:492" s="59" customFormat="1" ht="31.3" thickBot="1">
      <c r="A32" s="490" t="s">
        <v>478</v>
      </c>
      <c r="B32" s="511" t="s">
        <v>479</v>
      </c>
      <c r="C32" s="391"/>
      <c r="D32" s="391"/>
      <c r="E32" s="391"/>
      <c r="F32" s="391"/>
      <c r="G32" s="391"/>
      <c r="H32" s="391"/>
      <c r="I32" s="391"/>
      <c r="J32" s="391"/>
      <c r="K32" s="391"/>
      <c r="L32" s="391"/>
      <c r="M32" s="391"/>
      <c r="N32" s="391"/>
      <c r="O32" s="391"/>
      <c r="P32" s="391"/>
      <c r="Q32" s="391"/>
      <c r="R32" s="391"/>
      <c r="S32" s="391"/>
      <c r="T32" s="391"/>
      <c r="U32" s="391"/>
      <c r="V32" s="391"/>
      <c r="W32" s="391"/>
      <c r="X32" s="391"/>
      <c r="Y32" s="391"/>
      <c r="Z32" s="391"/>
      <c r="AA32" s="391"/>
      <c r="AB32" s="391"/>
      <c r="AC32" s="391"/>
      <c r="AD32" s="391"/>
      <c r="AE32" s="391"/>
      <c r="AF32" s="391"/>
      <c r="AG32" s="391"/>
      <c r="AH32" s="391"/>
      <c r="AI32" s="391"/>
      <c r="AJ32" s="391"/>
      <c r="AK32" s="391"/>
      <c r="AL32" s="391"/>
      <c r="AM32" s="502">
        <f>AM33+AM34</f>
        <v>174.39999999999998</v>
      </c>
      <c r="AN32" s="392">
        <f>AN33+AN34</f>
        <v>176.20000000000005</v>
      </c>
      <c r="AO32" s="392">
        <f>AO33+AO34</f>
        <v>282.79999999999995</v>
      </c>
      <c r="AP32" s="392">
        <f>AP33+AP34</f>
        <v>295</v>
      </c>
      <c r="AQ32" s="503">
        <f t="shared" si="39"/>
        <v>928.4</v>
      </c>
      <c r="AR32" s="392"/>
      <c r="AS32" s="392"/>
      <c r="AT32" s="392"/>
      <c r="AU32" s="392"/>
      <c r="AV32" s="393"/>
      <c r="AW32" s="392">
        <f>AW33+AW34</f>
        <v>359.9</v>
      </c>
      <c r="AX32" s="392">
        <f>AX33+AX34</f>
        <v>276.39999999999998</v>
      </c>
      <c r="AY32" s="392">
        <f>AY33+AY34</f>
        <v>318.29999999999995</v>
      </c>
      <c r="AZ32" s="392">
        <f>AZ33+AZ34</f>
        <v>277</v>
      </c>
      <c r="BA32" s="494">
        <f>SUM(AW32:AZ32)</f>
        <v>1231.5999999999999</v>
      </c>
      <c r="BB32" s="502">
        <f t="shared" ref="BB32:BK32" si="44">BB33+BB34</f>
        <v>307.39999999999998</v>
      </c>
      <c r="BC32" s="392">
        <f t="shared" si="44"/>
        <v>228.30000000000007</v>
      </c>
      <c r="BD32" s="392">
        <f t="shared" si="44"/>
        <v>251.99999999999989</v>
      </c>
      <c r="BE32" s="392">
        <f t="shared" si="44"/>
        <v>430.20000000000016</v>
      </c>
      <c r="BF32" s="503">
        <f t="shared" si="44"/>
        <v>1217.9000000000001</v>
      </c>
      <c r="BG32" s="392">
        <f t="shared" si="44"/>
        <v>335.5</v>
      </c>
      <c r="BH32" s="392">
        <f t="shared" si="44"/>
        <v>334.49999999999994</v>
      </c>
      <c r="BI32" s="392">
        <f t="shared" si="44"/>
        <v>231.8</v>
      </c>
      <c r="BJ32" s="392">
        <f>BJ33+BJ34</f>
        <v>256.99999999999994</v>
      </c>
      <c r="BK32" s="503">
        <f t="shared" si="44"/>
        <v>1158.8</v>
      </c>
      <c r="BL32" s="392">
        <f>BL33+BL34+BL35</f>
        <v>324.89999999999998</v>
      </c>
      <c r="BM32" s="672">
        <f t="shared" ref="BM32:BP32" si="45">BM33+BM34+BM35</f>
        <v>262</v>
      </c>
      <c r="BN32" s="392">
        <f t="shared" si="45"/>
        <v>225.30000000000004</v>
      </c>
      <c r="BO32" s="392">
        <f t="shared" si="45"/>
        <v>302.20000000000016</v>
      </c>
      <c r="BP32" s="503">
        <f t="shared" si="45"/>
        <v>1114.4000000000003</v>
      </c>
      <c r="BQ32" s="392">
        <f>BQ33+BQ34+BQ35+BQ36</f>
        <v>295.20000000000005</v>
      </c>
      <c r="BR32" s="392">
        <f t="shared" ref="BR32:BT32" si="46">BR33+BR34+BR35+BR36</f>
        <v>215.79999999999998</v>
      </c>
      <c r="BS32" s="392">
        <f t="shared" si="46"/>
        <v>493.50000000000011</v>
      </c>
      <c r="BT32" s="392">
        <f t="shared" si="46"/>
        <v>597.4</v>
      </c>
      <c r="BU32" s="825">
        <f>BU33+BU34+BU35+BU36</f>
        <v>1601.9</v>
      </c>
      <c r="BV32" s="392">
        <f>BV33+BV34+BV35+BV36</f>
        <v>335.6</v>
      </c>
      <c r="BW32" s="392">
        <f t="shared" ref="BW32:BY32" si="47">BW33+BW34+BW35+BW36</f>
        <v>358.1</v>
      </c>
      <c r="BX32" s="392">
        <f t="shared" si="47"/>
        <v>480.49999999999989</v>
      </c>
      <c r="BY32" s="392">
        <f t="shared" si="47"/>
        <v>610</v>
      </c>
      <c r="BZ32" s="825">
        <f>BZ33+BZ34+BZ35+BZ36</f>
        <v>1784.2</v>
      </c>
      <c r="CA32" s="392">
        <f>CA33+CA34+CA35+CA36</f>
        <v>489.6</v>
      </c>
      <c r="CB32" s="392"/>
      <c r="CC32" s="392"/>
      <c r="CD32" s="392"/>
      <c r="CE32" s="825">
        <f>CE33+CE34+CE35+CE36</f>
        <v>489.6</v>
      </c>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c r="IZ32" s="11"/>
      <c r="JA32" s="11"/>
      <c r="JB32" s="11"/>
      <c r="JC32" s="11"/>
      <c r="JD32" s="11"/>
      <c r="JE32" s="11"/>
      <c r="JF32" s="11"/>
      <c r="JG32" s="11"/>
      <c r="JH32" s="11"/>
      <c r="JI32" s="11"/>
      <c r="JJ32" s="11"/>
      <c r="JK32" s="11"/>
      <c r="JL32" s="11"/>
      <c r="JM32" s="11"/>
      <c r="JN32" s="11"/>
      <c r="JO32" s="11"/>
      <c r="JP32" s="11"/>
      <c r="JQ32" s="11"/>
      <c r="JR32" s="11"/>
      <c r="JS32" s="11"/>
      <c r="JT32" s="11"/>
      <c r="JU32" s="11"/>
      <c r="JV32" s="11"/>
      <c r="JW32" s="11"/>
      <c r="JX32" s="11"/>
      <c r="JY32" s="11"/>
      <c r="JZ32" s="11"/>
      <c r="KA32" s="11"/>
      <c r="KB32" s="11"/>
      <c r="KC32" s="11"/>
      <c r="KD32" s="11"/>
      <c r="KE32" s="11"/>
      <c r="KF32" s="11"/>
      <c r="KG32" s="11"/>
      <c r="KH32" s="11"/>
      <c r="KI32" s="11"/>
      <c r="KJ32" s="11"/>
      <c r="KK32" s="11"/>
      <c r="KL32" s="11"/>
      <c r="KM32" s="11"/>
      <c r="KN32" s="11"/>
      <c r="KO32" s="11"/>
      <c r="KP32" s="11"/>
      <c r="KQ32" s="11"/>
      <c r="KR32" s="11"/>
      <c r="KS32" s="11"/>
      <c r="KT32" s="11"/>
      <c r="KU32" s="11"/>
      <c r="KV32" s="11"/>
      <c r="KW32" s="11"/>
      <c r="KX32" s="11"/>
      <c r="KY32" s="11"/>
      <c r="KZ32" s="11"/>
      <c r="LA32" s="11"/>
      <c r="LB32" s="11"/>
      <c r="LC32" s="11"/>
      <c r="LD32" s="11"/>
      <c r="LE32" s="11"/>
      <c r="LF32" s="11"/>
      <c r="LG32" s="11"/>
      <c r="LH32" s="11"/>
      <c r="LI32" s="11"/>
      <c r="LJ32" s="11"/>
      <c r="LK32" s="11"/>
      <c r="LL32" s="11"/>
      <c r="LM32" s="11"/>
      <c r="LN32" s="11"/>
      <c r="LO32" s="11"/>
      <c r="LP32" s="11"/>
      <c r="LQ32" s="11"/>
      <c r="LR32" s="11"/>
      <c r="LS32" s="11"/>
      <c r="LT32" s="11"/>
      <c r="LU32" s="11"/>
      <c r="LV32" s="11"/>
      <c r="LW32" s="11"/>
      <c r="LX32" s="11"/>
      <c r="LY32" s="11"/>
      <c r="LZ32" s="11"/>
      <c r="MA32" s="11"/>
      <c r="MB32" s="11"/>
      <c r="MC32" s="11"/>
      <c r="MD32" s="11"/>
      <c r="ME32" s="11"/>
      <c r="MF32" s="11"/>
      <c r="MG32" s="11"/>
      <c r="MH32" s="11"/>
      <c r="MI32" s="11"/>
      <c r="MJ32" s="11"/>
      <c r="MK32" s="11"/>
      <c r="ML32" s="11"/>
      <c r="MM32" s="11"/>
      <c r="MN32" s="11"/>
      <c r="MO32" s="11"/>
      <c r="MP32" s="11"/>
      <c r="MQ32" s="11"/>
      <c r="MR32" s="11"/>
      <c r="MS32" s="11"/>
      <c r="MT32" s="11"/>
      <c r="MU32" s="11"/>
      <c r="MV32" s="11"/>
      <c r="MW32" s="11"/>
      <c r="MX32" s="11"/>
      <c r="MY32" s="11"/>
      <c r="MZ32" s="11"/>
      <c r="NA32" s="11"/>
      <c r="NB32" s="11"/>
      <c r="NC32" s="11"/>
      <c r="ND32" s="11"/>
      <c r="NE32" s="11"/>
      <c r="NF32" s="11"/>
      <c r="NG32" s="11"/>
      <c r="NH32" s="11"/>
      <c r="NI32" s="11"/>
      <c r="NJ32" s="11"/>
      <c r="NK32" s="11"/>
      <c r="NL32" s="11"/>
      <c r="NM32" s="11"/>
      <c r="NN32" s="11"/>
      <c r="NO32" s="11"/>
      <c r="NP32" s="11"/>
      <c r="NQ32" s="11"/>
      <c r="NR32" s="11"/>
      <c r="NS32" s="11"/>
      <c r="NT32" s="11"/>
      <c r="NU32" s="11"/>
      <c r="NV32" s="11"/>
      <c r="NW32" s="11"/>
      <c r="NX32" s="11"/>
      <c r="NY32" s="11"/>
      <c r="NZ32" s="11"/>
      <c r="OA32" s="11"/>
      <c r="OB32" s="11"/>
      <c r="OC32" s="11"/>
      <c r="OD32" s="11"/>
      <c r="OE32" s="11"/>
      <c r="OF32" s="11"/>
      <c r="OG32" s="11"/>
      <c r="OH32" s="11"/>
      <c r="OI32" s="11"/>
      <c r="OJ32" s="11"/>
      <c r="OK32" s="11"/>
      <c r="OL32" s="11"/>
      <c r="OM32" s="11"/>
      <c r="ON32" s="11"/>
      <c r="OO32" s="11"/>
      <c r="OP32" s="11"/>
      <c r="OQ32" s="11"/>
      <c r="OR32" s="11"/>
      <c r="OS32" s="11"/>
      <c r="OT32" s="11"/>
      <c r="OU32" s="11"/>
      <c r="OV32" s="11"/>
      <c r="OW32" s="11"/>
      <c r="OX32" s="11"/>
      <c r="OY32" s="11"/>
      <c r="OZ32" s="11"/>
      <c r="PA32" s="11"/>
      <c r="PB32" s="11"/>
      <c r="PC32" s="11"/>
      <c r="PD32" s="11"/>
      <c r="PE32" s="11"/>
      <c r="PF32" s="11"/>
      <c r="PG32" s="11"/>
      <c r="PH32" s="11"/>
      <c r="PI32" s="11"/>
      <c r="PJ32" s="11"/>
      <c r="PK32" s="11"/>
      <c r="PL32" s="11"/>
      <c r="PM32" s="11"/>
      <c r="PN32" s="11"/>
      <c r="PO32" s="11"/>
      <c r="PP32" s="11"/>
      <c r="PQ32" s="11"/>
      <c r="PR32" s="11"/>
      <c r="PS32" s="11"/>
      <c r="PT32" s="11"/>
      <c r="PU32" s="11"/>
      <c r="PV32" s="11"/>
      <c r="PW32" s="11"/>
      <c r="PX32" s="11"/>
      <c r="PY32" s="11"/>
      <c r="PZ32" s="11"/>
      <c r="QA32" s="11"/>
      <c r="QB32" s="11"/>
      <c r="QC32" s="11"/>
      <c r="QD32" s="11"/>
      <c r="QE32" s="11"/>
      <c r="QF32" s="11"/>
      <c r="QG32" s="11"/>
      <c r="QH32" s="11"/>
      <c r="QI32" s="11"/>
      <c r="QJ32" s="11"/>
      <c r="QK32" s="11"/>
      <c r="QL32" s="11"/>
      <c r="QM32" s="11"/>
      <c r="QN32" s="11"/>
      <c r="QO32" s="11"/>
      <c r="QP32" s="11"/>
      <c r="QQ32" s="11"/>
      <c r="QR32" s="11"/>
      <c r="QS32" s="11"/>
      <c r="QT32" s="11"/>
      <c r="QU32" s="11"/>
      <c r="QV32" s="11"/>
      <c r="QW32" s="11"/>
      <c r="QX32" s="11"/>
      <c r="QY32" s="11"/>
      <c r="QZ32" s="11"/>
      <c r="RA32" s="11"/>
      <c r="RB32" s="11"/>
      <c r="RC32" s="11"/>
      <c r="RD32" s="11"/>
      <c r="RE32" s="11"/>
      <c r="RF32" s="11"/>
      <c r="RG32" s="11"/>
      <c r="RH32" s="11"/>
      <c r="RI32" s="11"/>
      <c r="RJ32" s="11"/>
      <c r="RK32" s="11"/>
      <c r="RL32" s="11"/>
      <c r="RM32" s="11"/>
      <c r="RN32" s="11"/>
      <c r="RO32" s="11"/>
      <c r="RP32" s="11"/>
      <c r="RQ32" s="11"/>
      <c r="RR32" s="11"/>
      <c r="RS32" s="11"/>
      <c r="RT32" s="11"/>
      <c r="RU32" s="11"/>
      <c r="RV32" s="11"/>
      <c r="RW32" s="11"/>
      <c r="RX32" s="11"/>
    </row>
    <row r="33" spans="1:492" s="471" customFormat="1" ht="20.149999999999999" customHeight="1">
      <c r="A33" s="491" t="s">
        <v>456</v>
      </c>
      <c r="B33" s="512" t="s">
        <v>480</v>
      </c>
      <c r="C33" s="468"/>
      <c r="D33" s="468"/>
      <c r="E33" s="468"/>
      <c r="F33" s="468"/>
      <c r="G33" s="468"/>
      <c r="H33" s="468"/>
      <c r="I33" s="468"/>
      <c r="J33" s="468"/>
      <c r="K33" s="468"/>
      <c r="L33" s="468"/>
      <c r="M33" s="468"/>
      <c r="N33" s="468"/>
      <c r="O33" s="468"/>
      <c r="P33" s="468"/>
      <c r="Q33" s="468"/>
      <c r="R33" s="468"/>
      <c r="S33" s="468"/>
      <c r="T33" s="468"/>
      <c r="U33" s="468"/>
      <c r="V33" s="468"/>
      <c r="W33" s="468"/>
      <c r="X33" s="468"/>
      <c r="Y33" s="468"/>
      <c r="Z33" s="468"/>
      <c r="AA33" s="468"/>
      <c r="AB33" s="468"/>
      <c r="AC33" s="468"/>
      <c r="AD33" s="468"/>
      <c r="AE33" s="468"/>
      <c r="AF33" s="468"/>
      <c r="AG33" s="468"/>
      <c r="AH33" s="468"/>
      <c r="AI33" s="468"/>
      <c r="AJ33" s="468"/>
      <c r="AK33" s="468"/>
      <c r="AL33" s="468"/>
      <c r="AM33" s="504">
        <v>164.99999999999997</v>
      </c>
      <c r="AN33" s="469">
        <v>165.60000000000005</v>
      </c>
      <c r="AO33" s="469">
        <v>259.39999999999998</v>
      </c>
      <c r="AP33" s="469">
        <v>285.7</v>
      </c>
      <c r="AQ33" s="500">
        <f t="shared" si="39"/>
        <v>875.7</v>
      </c>
      <c r="AR33" s="469"/>
      <c r="AS33" s="469"/>
      <c r="AT33" s="469"/>
      <c r="AU33" s="469"/>
      <c r="AV33" s="470"/>
      <c r="AW33" s="469">
        <v>350.9</v>
      </c>
      <c r="AX33" s="469">
        <v>266</v>
      </c>
      <c r="AY33" s="469">
        <v>312.59999999999997</v>
      </c>
      <c r="AZ33" s="469">
        <v>258.39999999999998</v>
      </c>
      <c r="BA33" s="478">
        <f t="shared" ref="BA33" si="48">SUM(AW33:AZ33)</f>
        <v>1187.9000000000001</v>
      </c>
      <c r="BB33" s="504">
        <v>283.7</v>
      </c>
      <c r="BC33" s="469">
        <v>214.10000000000008</v>
      </c>
      <c r="BD33" s="469">
        <v>232.09999999999988</v>
      </c>
      <c r="BE33" s="469">
        <v>382.50000000000017</v>
      </c>
      <c r="BF33" s="500">
        <f>SUM(BB33:BE33)</f>
        <v>1112.4000000000001</v>
      </c>
      <c r="BG33" s="469">
        <v>295.3</v>
      </c>
      <c r="BH33" s="485">
        <v>315.59999999999997</v>
      </c>
      <c r="BI33" s="485">
        <v>205.10000000000002</v>
      </c>
      <c r="BJ33" s="469">
        <f>1049.3-SUM(BG33:BI33)</f>
        <v>233.29999999999995</v>
      </c>
      <c r="BK33" s="500">
        <f>SUM(BG33:BJ33)</f>
        <v>1049.3</v>
      </c>
      <c r="BL33" s="469">
        <v>257.89999999999998</v>
      </c>
      <c r="BM33" s="485">
        <f>497.2-BL33</f>
        <v>239.3</v>
      </c>
      <c r="BN33" s="485">
        <f>692.2-BM33-BL33</f>
        <v>195.00000000000006</v>
      </c>
      <c r="BO33" s="469">
        <f>964.2-BN33-BM33-BL33</f>
        <v>272.00000000000011</v>
      </c>
      <c r="BP33" s="500">
        <f>SUM(BL33:BO33)</f>
        <v>964.20000000000016</v>
      </c>
      <c r="BQ33" s="469">
        <v>269.60000000000002</v>
      </c>
      <c r="BR33" s="485">
        <f>467.5-BQ33</f>
        <v>197.89999999999998</v>
      </c>
      <c r="BS33" s="475">
        <f>619.2-BR33-BQ33</f>
        <v>151.70000000000005</v>
      </c>
      <c r="BT33" s="469">
        <v>173.5</v>
      </c>
      <c r="BU33" s="823">
        <f>SUM(BQ33:BT33)</f>
        <v>792.7</v>
      </c>
      <c r="BV33" s="469">
        <v>217.2</v>
      </c>
      <c r="BW33" s="485">
        <v>175.3</v>
      </c>
      <c r="BX33" s="475">
        <v>180.89999999999998</v>
      </c>
      <c r="BY33" s="469">
        <v>182.5</v>
      </c>
      <c r="BZ33" s="823">
        <f>SUM(BV33:BY33)</f>
        <v>755.9</v>
      </c>
      <c r="CA33" s="469">
        <v>310.3</v>
      </c>
      <c r="CB33" s="485"/>
      <c r="CC33" s="475"/>
      <c r="CD33" s="469"/>
      <c r="CE33" s="823">
        <f>SUM(CA33:CD33)</f>
        <v>310.3</v>
      </c>
      <c r="CG33" s="946"/>
    </row>
    <row r="34" spans="1:492" s="471" customFormat="1" ht="20.149999999999999" customHeight="1">
      <c r="A34" s="491" t="s">
        <v>458</v>
      </c>
      <c r="B34" s="512" t="s">
        <v>459</v>
      </c>
      <c r="C34" s="472"/>
      <c r="D34" s="472"/>
      <c r="E34" s="472"/>
      <c r="F34" s="472"/>
      <c r="G34" s="472"/>
      <c r="H34" s="472"/>
      <c r="I34" s="472"/>
      <c r="J34" s="472"/>
      <c r="K34" s="472"/>
      <c r="L34" s="472"/>
      <c r="M34" s="472"/>
      <c r="N34" s="472"/>
      <c r="O34" s="472"/>
      <c r="P34" s="472"/>
      <c r="Q34" s="472"/>
      <c r="R34" s="472"/>
      <c r="S34" s="472"/>
      <c r="T34" s="472"/>
      <c r="U34" s="472"/>
      <c r="V34" s="472"/>
      <c r="W34" s="472"/>
      <c r="X34" s="472"/>
      <c r="Y34" s="472"/>
      <c r="Z34" s="472"/>
      <c r="AA34" s="472"/>
      <c r="AB34" s="472"/>
      <c r="AC34" s="472"/>
      <c r="AD34" s="472"/>
      <c r="AE34" s="472"/>
      <c r="AF34" s="472"/>
      <c r="AG34" s="472"/>
      <c r="AH34" s="472"/>
      <c r="AI34" s="472"/>
      <c r="AJ34" s="472"/>
      <c r="AK34" s="472"/>
      <c r="AL34" s="472"/>
      <c r="AM34" s="505">
        <v>9.4</v>
      </c>
      <c r="AN34" s="473">
        <v>10.6</v>
      </c>
      <c r="AO34" s="473">
        <v>23.4</v>
      </c>
      <c r="AP34" s="473">
        <v>9.3000000000000043</v>
      </c>
      <c r="AQ34" s="500">
        <f t="shared" si="39"/>
        <v>52.7</v>
      </c>
      <c r="AR34" s="473"/>
      <c r="AS34" s="473"/>
      <c r="AT34" s="473"/>
      <c r="AU34" s="473"/>
      <c r="AV34" s="470"/>
      <c r="AW34" s="473">
        <v>9</v>
      </c>
      <c r="AX34" s="473">
        <v>10.399999999999999</v>
      </c>
      <c r="AY34" s="473">
        <v>5.7000000000000028</v>
      </c>
      <c r="AZ34" s="473">
        <v>18.600000000000001</v>
      </c>
      <c r="BA34" s="478">
        <f>SUM(AW34:AZ34)</f>
        <v>43.7</v>
      </c>
      <c r="BB34" s="505">
        <v>23.7</v>
      </c>
      <c r="BC34" s="473">
        <v>14.2</v>
      </c>
      <c r="BD34" s="473">
        <v>19.899999999999999</v>
      </c>
      <c r="BE34" s="473">
        <v>47.7</v>
      </c>
      <c r="BF34" s="500">
        <f>SUM(BB34:BE34)</f>
        <v>105.5</v>
      </c>
      <c r="BG34" s="473">
        <v>40.200000000000003</v>
      </c>
      <c r="BH34" s="486">
        <v>18.899999999999999</v>
      </c>
      <c r="BI34" s="486">
        <v>26.700000000000003</v>
      </c>
      <c r="BJ34" s="473">
        <f>109.5-SUM(BG34:BI34)</f>
        <v>23.699999999999989</v>
      </c>
      <c r="BK34" s="500">
        <f>SUM(BG34:BJ34)</f>
        <v>109.5</v>
      </c>
      <c r="BL34" s="473">
        <v>67</v>
      </c>
      <c r="BM34" s="486">
        <f>81.7-BL34</f>
        <v>14.700000000000003</v>
      </c>
      <c r="BN34" s="486">
        <f>97.9-BM34-BL34</f>
        <v>16.200000000000003</v>
      </c>
      <c r="BO34" s="473">
        <f>117-BN34-BM34-BL34</f>
        <v>19.099999999999994</v>
      </c>
      <c r="BP34" s="500">
        <f>SUM(BL34:BO34)</f>
        <v>117</v>
      </c>
      <c r="BQ34" s="473">
        <v>22.3</v>
      </c>
      <c r="BR34" s="486">
        <f>31.3-BQ34</f>
        <v>9</v>
      </c>
      <c r="BS34" s="475">
        <v>31.3</v>
      </c>
      <c r="BT34" s="469">
        <v>11.399999999999999</v>
      </c>
      <c r="BU34" s="823">
        <f>SUM(BQ34:BT34)</f>
        <v>74</v>
      </c>
      <c r="BV34" s="473">
        <v>26.3</v>
      </c>
      <c r="BW34" s="486">
        <v>13.599999999999998</v>
      </c>
      <c r="BX34" s="475">
        <v>18.399999999999999</v>
      </c>
      <c r="BY34" s="469">
        <v>19.7</v>
      </c>
      <c r="BZ34" s="823">
        <f>SUM(BV34:BY34)</f>
        <v>78</v>
      </c>
      <c r="CA34" s="473">
        <v>13.3</v>
      </c>
      <c r="CB34" s="486"/>
      <c r="CC34" s="475"/>
      <c r="CD34" s="469"/>
      <c r="CE34" s="823">
        <f>SUM(CA34:CD34)</f>
        <v>13.3</v>
      </c>
      <c r="CG34" s="947"/>
    </row>
    <row r="35" spans="1:492" s="471" customFormat="1" ht="20.149999999999999" customHeight="1">
      <c r="A35" s="491" t="s">
        <v>468</v>
      </c>
      <c r="B35" s="512" t="s">
        <v>461</v>
      </c>
      <c r="C35" s="472"/>
      <c r="D35" s="472"/>
      <c r="E35" s="472"/>
      <c r="F35" s="472"/>
      <c r="G35" s="472"/>
      <c r="H35" s="472"/>
      <c r="I35" s="472"/>
      <c r="J35" s="472"/>
      <c r="K35" s="472"/>
      <c r="L35" s="472"/>
      <c r="M35" s="472"/>
      <c r="N35" s="472"/>
      <c r="O35" s="472"/>
      <c r="P35" s="472"/>
      <c r="Q35" s="472"/>
      <c r="R35" s="472"/>
      <c r="S35" s="472"/>
      <c r="T35" s="472"/>
      <c r="U35" s="472"/>
      <c r="V35" s="472"/>
      <c r="W35" s="472"/>
      <c r="X35" s="472"/>
      <c r="Y35" s="472"/>
      <c r="Z35" s="472"/>
      <c r="AA35" s="472"/>
      <c r="AB35" s="472"/>
      <c r="AC35" s="472"/>
      <c r="AD35" s="472"/>
      <c r="AE35" s="472"/>
      <c r="AF35" s="472"/>
      <c r="AG35" s="472"/>
      <c r="AH35" s="472"/>
      <c r="AI35" s="472"/>
      <c r="AJ35" s="472"/>
      <c r="AK35" s="472"/>
      <c r="AL35" s="472"/>
      <c r="AM35" s="505"/>
      <c r="AN35" s="473"/>
      <c r="AO35" s="473"/>
      <c r="AP35" s="473"/>
      <c r="AQ35" s="500"/>
      <c r="AR35" s="473"/>
      <c r="AS35" s="473"/>
      <c r="AT35" s="473"/>
      <c r="AU35" s="473"/>
      <c r="AV35" s="470"/>
      <c r="AW35" s="473"/>
      <c r="AX35" s="473"/>
      <c r="AY35" s="473"/>
      <c r="AZ35" s="473"/>
      <c r="BA35" s="478"/>
      <c r="BB35" s="505"/>
      <c r="BC35" s="473"/>
      <c r="BD35" s="473"/>
      <c r="BE35" s="473"/>
      <c r="BF35" s="500"/>
      <c r="BG35" s="473"/>
      <c r="BH35" s="486"/>
      <c r="BI35" s="486"/>
      <c r="BJ35" s="473"/>
      <c r="BK35" s="500"/>
      <c r="BL35" s="473"/>
      <c r="BM35" s="486">
        <v>8</v>
      </c>
      <c r="BN35" s="486">
        <f>22.1-BM35-BL35</f>
        <v>14.100000000000001</v>
      </c>
      <c r="BO35" s="473">
        <f>33.2-BN35-BM35</f>
        <v>11.100000000000001</v>
      </c>
      <c r="BP35" s="500">
        <f>SUM(BL35:BO35)</f>
        <v>33.200000000000003</v>
      </c>
      <c r="BQ35" s="473">
        <v>3.3</v>
      </c>
      <c r="BR35" s="486">
        <f>12.2-BQ35</f>
        <v>8.8999999999999986</v>
      </c>
      <c r="BS35" s="475">
        <v>8.9000000000000021</v>
      </c>
      <c r="BT35" s="469">
        <v>3.5</v>
      </c>
      <c r="BU35" s="823">
        <f>SUM(BQ35:BT35)</f>
        <v>24.6</v>
      </c>
      <c r="BV35" s="473">
        <v>5.0999999999999996</v>
      </c>
      <c r="BW35" s="486">
        <v>1.4000000000000004</v>
      </c>
      <c r="BX35" s="475">
        <v>4.1999999999999993</v>
      </c>
      <c r="BY35" s="469">
        <v>14</v>
      </c>
      <c r="BZ35" s="823">
        <f>SUM(BV35:BY35)</f>
        <v>24.7</v>
      </c>
      <c r="CA35" s="473">
        <v>9.1999999999999993</v>
      </c>
      <c r="CB35" s="486"/>
      <c r="CC35" s="475"/>
      <c r="CD35" s="469"/>
      <c r="CE35" s="823">
        <f>SUM(CA35:CD35)</f>
        <v>9.1999999999999993</v>
      </c>
    </row>
    <row r="36" spans="1:492" s="471" customFormat="1" ht="20.149999999999999" customHeight="1" thickBot="1">
      <c r="A36" s="489" t="s">
        <v>462</v>
      </c>
      <c r="B36" s="512" t="s">
        <v>463</v>
      </c>
      <c r="C36" s="472"/>
      <c r="D36" s="472"/>
      <c r="E36" s="472"/>
      <c r="F36" s="472"/>
      <c r="G36" s="472"/>
      <c r="H36" s="472"/>
      <c r="I36" s="472"/>
      <c r="J36" s="472"/>
      <c r="K36" s="472"/>
      <c r="L36" s="472"/>
      <c r="M36" s="472"/>
      <c r="N36" s="472"/>
      <c r="O36" s="472"/>
      <c r="P36" s="472"/>
      <c r="Q36" s="472"/>
      <c r="R36" s="472"/>
      <c r="S36" s="472"/>
      <c r="T36" s="472"/>
      <c r="U36" s="472"/>
      <c r="V36" s="472"/>
      <c r="W36" s="472"/>
      <c r="X36" s="472"/>
      <c r="Y36" s="472"/>
      <c r="Z36" s="472"/>
      <c r="AA36" s="472"/>
      <c r="AB36" s="472"/>
      <c r="AC36" s="472"/>
      <c r="AD36" s="472"/>
      <c r="AE36" s="472"/>
      <c r="AF36" s="472"/>
      <c r="AG36" s="472"/>
      <c r="AH36" s="472"/>
      <c r="AI36" s="472"/>
      <c r="AJ36" s="472"/>
      <c r="AK36" s="472"/>
      <c r="AL36" s="472"/>
      <c r="AM36" s="505"/>
      <c r="AN36" s="473"/>
      <c r="AO36" s="473"/>
      <c r="AP36" s="473"/>
      <c r="AQ36" s="500"/>
      <c r="AR36" s="473"/>
      <c r="AS36" s="473"/>
      <c r="AT36" s="473"/>
      <c r="AU36" s="473"/>
      <c r="AV36" s="470"/>
      <c r="AW36" s="473"/>
      <c r="AX36" s="473"/>
      <c r="AY36" s="473"/>
      <c r="AZ36" s="473"/>
      <c r="BA36" s="478"/>
      <c r="BB36" s="505"/>
      <c r="BC36" s="473"/>
      <c r="BD36" s="473"/>
      <c r="BE36" s="473"/>
      <c r="BF36" s="500"/>
      <c r="BG36" s="473"/>
      <c r="BH36" s="486"/>
      <c r="BI36" s="486"/>
      <c r="BJ36" s="473"/>
      <c r="BK36" s="500"/>
      <c r="BL36" s="473"/>
      <c r="BM36" s="486"/>
      <c r="BN36" s="486"/>
      <c r="BO36" s="473"/>
      <c r="BP36" s="500"/>
      <c r="BQ36" s="473"/>
      <c r="BR36" s="486"/>
      <c r="BS36" s="475">
        <v>301.60000000000002</v>
      </c>
      <c r="BT36" s="469">
        <v>409</v>
      </c>
      <c r="BU36" s="823">
        <f>SUM(BQ36:BT36)</f>
        <v>710.6</v>
      </c>
      <c r="BV36" s="473">
        <v>87</v>
      </c>
      <c r="BW36" s="486">
        <v>167.8</v>
      </c>
      <c r="BX36" s="475">
        <v>276.99999999999994</v>
      </c>
      <c r="BY36" s="469">
        <v>393.80000000000007</v>
      </c>
      <c r="BZ36" s="823">
        <f>SUM(BV36:BY36)</f>
        <v>925.6</v>
      </c>
      <c r="CA36" s="473">
        <v>156.80000000000001</v>
      </c>
      <c r="CB36" s="486"/>
      <c r="CC36" s="475"/>
      <c r="CD36" s="469"/>
      <c r="CE36" s="823">
        <f>SUM(CA36:CD36)</f>
        <v>156.80000000000001</v>
      </c>
    </row>
    <row r="37" spans="1:492" s="59" customFormat="1" ht="29.6" thickBot="1">
      <c r="A37" s="492" t="s">
        <v>481</v>
      </c>
      <c r="B37" s="513" t="s">
        <v>482</v>
      </c>
      <c r="C37" s="397"/>
      <c r="D37" s="397"/>
      <c r="E37" s="397"/>
      <c r="F37" s="397"/>
      <c r="G37" s="397"/>
      <c r="H37" s="397"/>
      <c r="I37" s="397"/>
      <c r="J37" s="397"/>
      <c r="K37" s="397"/>
      <c r="L37" s="397"/>
      <c r="M37" s="397"/>
      <c r="N37" s="397"/>
      <c r="O37" s="397"/>
      <c r="P37" s="397"/>
      <c r="Q37" s="397"/>
      <c r="R37" s="397"/>
      <c r="S37" s="397"/>
      <c r="T37" s="397"/>
      <c r="U37" s="397"/>
      <c r="V37" s="397"/>
      <c r="W37" s="397"/>
      <c r="X37" s="397"/>
      <c r="Y37" s="397"/>
      <c r="Z37" s="397"/>
      <c r="AA37" s="397"/>
      <c r="AB37" s="397"/>
      <c r="AC37" s="397"/>
      <c r="AD37" s="397"/>
      <c r="AE37" s="397"/>
      <c r="AF37" s="397"/>
      <c r="AG37" s="397"/>
      <c r="AH37" s="397"/>
      <c r="AI37" s="397"/>
      <c r="AJ37" s="397"/>
      <c r="AK37" s="397"/>
      <c r="AL37" s="397"/>
      <c r="AM37" s="506">
        <f t="shared" ref="AM37:BL37" si="49">AM32/AM5</f>
        <v>7.4342469840999181E-2</v>
      </c>
      <c r="AN37" s="398">
        <f t="shared" si="49"/>
        <v>6.7685925015365744E-2</v>
      </c>
      <c r="AO37" s="398">
        <f t="shared" si="49"/>
        <v>0.10340036563071296</v>
      </c>
      <c r="AP37" s="398">
        <f t="shared" si="49"/>
        <v>9.826782145236504E-2</v>
      </c>
      <c r="AQ37" s="507">
        <f t="shared" si="49"/>
        <v>8.6879216926661729E-2</v>
      </c>
      <c r="AR37" s="398" t="e">
        <f t="shared" si="49"/>
        <v>#DIV/0!</v>
      </c>
      <c r="AS37" s="398" t="e">
        <f t="shared" si="49"/>
        <v>#DIV/0!</v>
      </c>
      <c r="AT37" s="398" t="e">
        <f t="shared" si="49"/>
        <v>#DIV/0!</v>
      </c>
      <c r="AU37" s="398" t="e">
        <f t="shared" si="49"/>
        <v>#DIV/0!</v>
      </c>
      <c r="AV37" s="399" t="e">
        <f t="shared" si="49"/>
        <v>#DIV/0!</v>
      </c>
      <c r="AW37" s="398">
        <f t="shared" si="49"/>
        <v>0.12892248173090701</v>
      </c>
      <c r="AX37" s="398">
        <f t="shared" si="49"/>
        <v>9.4560383167978102E-2</v>
      </c>
      <c r="AY37" s="398">
        <f t="shared" si="49"/>
        <v>0.11004701977596458</v>
      </c>
      <c r="AZ37" s="398">
        <f t="shared" si="49"/>
        <v>9.0254471995047422E-2</v>
      </c>
      <c r="BA37" s="495">
        <f t="shared" si="49"/>
        <v>0.10548042582711693</v>
      </c>
      <c r="BB37" s="506">
        <f t="shared" si="49"/>
        <v>0.10791644725294014</v>
      </c>
      <c r="BC37" s="398">
        <f t="shared" si="49"/>
        <v>7.974988647081431E-2</v>
      </c>
      <c r="BD37" s="398">
        <f t="shared" si="49"/>
        <v>8.3902114200099839E-2</v>
      </c>
      <c r="BE37" s="398">
        <f t="shared" si="49"/>
        <v>0.13244258358475466</v>
      </c>
      <c r="BF37" s="507">
        <f t="shared" si="49"/>
        <v>0.10180641817619475</v>
      </c>
      <c r="BG37" s="398">
        <f t="shared" si="49"/>
        <v>0.11230501439378725</v>
      </c>
      <c r="BH37" s="398">
        <f t="shared" si="49"/>
        <v>0.10586448080513972</v>
      </c>
      <c r="BI37" s="398">
        <f t="shared" si="49"/>
        <v>7.6453708895412115E-2</v>
      </c>
      <c r="BJ37" s="398">
        <f t="shared" si="49"/>
        <v>7.8713629402756474E-2</v>
      </c>
      <c r="BK37" s="516">
        <f t="shared" si="49"/>
        <v>9.312118289938924E-2</v>
      </c>
      <c r="BL37" s="398">
        <f t="shared" si="49"/>
        <v>0.10878226805504401</v>
      </c>
      <c r="BM37" s="398">
        <f t="shared" ref="BM37:BU37" si="50">BM32/BM5</f>
        <v>8.1162293609243819E-2</v>
      </c>
      <c r="BN37" s="398">
        <f t="shared" si="50"/>
        <v>6.888012473631111E-2</v>
      </c>
      <c r="BO37" s="398">
        <f t="shared" si="50"/>
        <v>8.8115232097037602E-2</v>
      </c>
      <c r="BP37" s="516">
        <f t="shared" si="50"/>
        <v>8.628525856929381E-2</v>
      </c>
      <c r="BQ37" s="398">
        <f t="shared" si="50"/>
        <v>9.227018410277249E-2</v>
      </c>
      <c r="BR37" s="398">
        <f t="shared" si="50"/>
        <v>6.5596692808073426E-2</v>
      </c>
      <c r="BS37" s="398">
        <f t="shared" si="50"/>
        <v>0.14280753537633478</v>
      </c>
      <c r="BT37" s="398">
        <f t="shared" si="50"/>
        <v>0.16227081352709491</v>
      </c>
      <c r="BU37" s="827">
        <f t="shared" si="50"/>
        <v>0.11755942552270242</v>
      </c>
      <c r="BV37" s="398">
        <f t="shared" ref="BV37:BZ37" si="51">BV32/BV5</f>
        <v>9.8560939794419974E-2</v>
      </c>
      <c r="BW37" s="398">
        <f t="shared" si="51"/>
        <v>0.10366789219234</v>
      </c>
      <c r="BX37" s="398">
        <f t="shared" si="51"/>
        <v>0.13423662522698698</v>
      </c>
      <c r="BY37" s="398">
        <f t="shared" si="51"/>
        <v>0.1593896161584489</v>
      </c>
      <c r="BZ37" s="827">
        <f t="shared" si="51"/>
        <v>0.12506746857891896</v>
      </c>
      <c r="CA37" s="398">
        <f t="shared" ref="CA37" si="52">CA32/CA5</f>
        <v>0.13868902611750042</v>
      </c>
      <c r="CB37" s="398"/>
      <c r="CC37" s="398"/>
      <c r="CD37" s="398"/>
      <c r="CE37" s="827">
        <f t="shared" ref="CE37" si="53">CE32/CE5</f>
        <v>0.13868902611750042</v>
      </c>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c r="DZ37" s="11"/>
      <c r="EA37" s="11"/>
      <c r="EB37" s="11"/>
      <c r="EC37" s="11"/>
      <c r="ED37" s="11"/>
      <c r="EE37" s="11"/>
      <c r="EF37" s="11"/>
      <c r="EG37" s="11"/>
      <c r="EH37" s="11"/>
      <c r="EI37" s="11"/>
      <c r="EJ37" s="11"/>
      <c r="EK37" s="11"/>
      <c r="EL37" s="11"/>
      <c r="EM37" s="11"/>
      <c r="EN37" s="11"/>
      <c r="EO37" s="11"/>
      <c r="EP37" s="11"/>
      <c r="EQ37" s="11"/>
      <c r="ER37" s="11"/>
      <c r="ES37" s="11"/>
      <c r="ET37" s="11"/>
      <c r="EU37" s="11"/>
      <c r="EV37" s="11"/>
      <c r="EW37" s="11"/>
      <c r="EX37" s="11"/>
      <c r="EY37" s="11"/>
      <c r="EZ37" s="11"/>
      <c r="FA37" s="11"/>
      <c r="FB37" s="11"/>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IO37" s="11"/>
      <c r="IP37" s="11"/>
      <c r="IQ37" s="11"/>
      <c r="IR37" s="11"/>
      <c r="IS37" s="11"/>
      <c r="IT37" s="11"/>
      <c r="IU37" s="11"/>
      <c r="IV37" s="11"/>
      <c r="IW37" s="11"/>
      <c r="IX37" s="11"/>
      <c r="IY37" s="11"/>
      <c r="IZ37" s="11"/>
      <c r="JA37" s="11"/>
      <c r="JB37" s="11"/>
      <c r="JC37" s="11"/>
      <c r="JD37" s="11"/>
      <c r="JE37" s="11"/>
      <c r="JF37" s="11"/>
      <c r="JG37" s="11"/>
      <c r="JH37" s="11"/>
      <c r="JI37" s="11"/>
      <c r="JJ37" s="11"/>
      <c r="JK37" s="11"/>
      <c r="JL37" s="11"/>
      <c r="JM37" s="11"/>
      <c r="JN37" s="11"/>
      <c r="JO37" s="11"/>
      <c r="JP37" s="11"/>
      <c r="JQ37" s="11"/>
      <c r="JR37" s="11"/>
      <c r="JS37" s="11"/>
      <c r="JT37" s="11"/>
      <c r="JU37" s="11"/>
      <c r="JV37" s="11"/>
      <c r="JW37" s="11"/>
      <c r="JX37" s="11"/>
      <c r="JY37" s="11"/>
      <c r="JZ37" s="11"/>
      <c r="KA37" s="11"/>
      <c r="KB37" s="11"/>
      <c r="KC37" s="11"/>
      <c r="KD37" s="11"/>
      <c r="KE37" s="11"/>
      <c r="KF37" s="11"/>
      <c r="KG37" s="11"/>
      <c r="KH37" s="11"/>
      <c r="KI37" s="11"/>
      <c r="KJ37" s="11"/>
      <c r="KK37" s="11"/>
      <c r="KL37" s="11"/>
      <c r="KM37" s="11"/>
      <c r="KN37" s="11"/>
      <c r="KO37" s="11"/>
      <c r="KP37" s="11"/>
      <c r="KQ37" s="11"/>
      <c r="KR37" s="11"/>
      <c r="KS37" s="11"/>
      <c r="KT37" s="11"/>
      <c r="KU37" s="11"/>
      <c r="KV37" s="11"/>
      <c r="KW37" s="11"/>
      <c r="KX37" s="11"/>
      <c r="KY37" s="11"/>
      <c r="KZ37" s="11"/>
      <c r="LA37" s="11"/>
      <c r="LB37" s="11"/>
      <c r="LC37" s="11"/>
      <c r="LD37" s="11"/>
      <c r="LE37" s="11"/>
      <c r="LF37" s="11"/>
      <c r="LG37" s="11"/>
      <c r="LH37" s="11"/>
      <c r="LI37" s="11"/>
      <c r="LJ37" s="11"/>
      <c r="LK37" s="11"/>
      <c r="LL37" s="11"/>
      <c r="LM37" s="11"/>
      <c r="LN37" s="11"/>
      <c r="LO37" s="11"/>
      <c r="LP37" s="11"/>
      <c r="LQ37" s="11"/>
      <c r="LR37" s="11"/>
      <c r="LS37" s="11"/>
      <c r="LT37" s="11"/>
      <c r="LU37" s="11"/>
      <c r="LV37" s="11"/>
      <c r="LW37" s="11"/>
      <c r="LX37" s="11"/>
      <c r="LY37" s="11"/>
      <c r="LZ37" s="11"/>
      <c r="MA37" s="11"/>
      <c r="MB37" s="11"/>
      <c r="MC37" s="11"/>
      <c r="MD37" s="11"/>
      <c r="ME37" s="11"/>
      <c r="MF37" s="11"/>
      <c r="MG37" s="11"/>
      <c r="MH37" s="11"/>
      <c r="MI37" s="11"/>
      <c r="MJ37" s="11"/>
      <c r="MK37" s="11"/>
      <c r="ML37" s="11"/>
      <c r="MM37" s="11"/>
      <c r="MN37" s="11"/>
      <c r="MO37" s="11"/>
      <c r="MP37" s="11"/>
      <c r="MQ37" s="11"/>
      <c r="MR37" s="11"/>
      <c r="MS37" s="11"/>
      <c r="MT37" s="11"/>
      <c r="MU37" s="11"/>
      <c r="MV37" s="11"/>
      <c r="MW37" s="11"/>
      <c r="MX37" s="11"/>
      <c r="MY37" s="11"/>
      <c r="MZ37" s="11"/>
      <c r="NA37" s="11"/>
      <c r="NB37" s="11"/>
      <c r="NC37" s="11"/>
      <c r="ND37" s="11"/>
      <c r="NE37" s="11"/>
      <c r="NF37" s="11"/>
      <c r="NG37" s="11"/>
      <c r="NH37" s="11"/>
      <c r="NI37" s="11"/>
      <c r="NJ37" s="11"/>
      <c r="NK37" s="11"/>
      <c r="NL37" s="11"/>
      <c r="NM37" s="11"/>
      <c r="NN37" s="11"/>
      <c r="NO37" s="11"/>
      <c r="NP37" s="11"/>
      <c r="NQ37" s="11"/>
      <c r="NR37" s="11"/>
      <c r="NS37" s="11"/>
      <c r="NT37" s="11"/>
      <c r="NU37" s="11"/>
      <c r="NV37" s="11"/>
      <c r="NW37" s="11"/>
      <c r="NX37" s="11"/>
      <c r="NY37" s="11"/>
      <c r="NZ37" s="11"/>
      <c r="OA37" s="11"/>
      <c r="OB37" s="11"/>
      <c r="OC37" s="11"/>
      <c r="OD37" s="11"/>
      <c r="OE37" s="11"/>
      <c r="OF37" s="11"/>
      <c r="OG37" s="11"/>
      <c r="OH37" s="11"/>
      <c r="OI37" s="11"/>
      <c r="OJ37" s="11"/>
      <c r="OK37" s="11"/>
      <c r="OL37" s="11"/>
      <c r="OM37" s="11"/>
      <c r="ON37" s="11"/>
      <c r="OO37" s="11"/>
      <c r="OP37" s="11"/>
      <c r="OQ37" s="11"/>
      <c r="OR37" s="11"/>
      <c r="OS37" s="11"/>
      <c r="OT37" s="11"/>
      <c r="OU37" s="11"/>
      <c r="OV37" s="11"/>
      <c r="OW37" s="11"/>
      <c r="OX37" s="11"/>
      <c r="OY37" s="11"/>
      <c r="OZ37" s="11"/>
      <c r="PA37" s="11"/>
      <c r="PB37" s="11"/>
      <c r="PC37" s="11"/>
      <c r="PD37" s="11"/>
      <c r="PE37" s="11"/>
      <c r="PF37" s="11"/>
      <c r="PG37" s="11"/>
      <c r="PH37" s="11"/>
      <c r="PI37" s="11"/>
      <c r="PJ37" s="11"/>
      <c r="PK37" s="11"/>
      <c r="PL37" s="11"/>
      <c r="PM37" s="11"/>
      <c r="PN37" s="11"/>
      <c r="PO37" s="11"/>
      <c r="PP37" s="11"/>
      <c r="PQ37" s="11"/>
      <c r="PR37" s="11"/>
      <c r="PS37" s="11"/>
      <c r="PT37" s="11"/>
      <c r="PU37" s="11"/>
      <c r="PV37" s="11"/>
      <c r="PW37" s="11"/>
      <c r="PX37" s="11"/>
      <c r="PY37" s="11"/>
      <c r="PZ37" s="11"/>
      <c r="QA37" s="11"/>
      <c r="QB37" s="11"/>
      <c r="QC37" s="11"/>
      <c r="QD37" s="11"/>
      <c r="QE37" s="11"/>
      <c r="QF37" s="11"/>
      <c r="QG37" s="11"/>
      <c r="QH37" s="11"/>
      <c r="QI37" s="11"/>
      <c r="QJ37" s="11"/>
      <c r="QK37" s="11"/>
      <c r="QL37" s="11"/>
      <c r="QM37" s="11"/>
      <c r="QN37" s="11"/>
      <c r="QO37" s="11"/>
      <c r="QP37" s="11"/>
      <c r="QQ37" s="11"/>
      <c r="QR37" s="11"/>
      <c r="QS37" s="11"/>
      <c r="QT37" s="11"/>
      <c r="QU37" s="11"/>
      <c r="QV37" s="11"/>
      <c r="QW37" s="11"/>
      <c r="QX37" s="11"/>
      <c r="QY37" s="11"/>
      <c r="QZ37" s="11"/>
      <c r="RA37" s="11"/>
      <c r="RB37" s="11"/>
      <c r="RC37" s="11"/>
      <c r="RD37" s="11"/>
      <c r="RE37" s="11"/>
      <c r="RF37" s="11"/>
      <c r="RG37" s="11"/>
      <c r="RH37" s="11"/>
      <c r="RI37" s="11"/>
      <c r="RJ37" s="11"/>
      <c r="RK37" s="11"/>
      <c r="RL37" s="11"/>
      <c r="RM37" s="11"/>
      <c r="RN37" s="11"/>
      <c r="RO37" s="11"/>
      <c r="RP37" s="11"/>
      <c r="RQ37" s="11"/>
      <c r="RR37" s="11"/>
      <c r="RS37" s="11"/>
      <c r="RT37" s="11"/>
      <c r="RU37" s="11"/>
      <c r="RV37" s="11"/>
      <c r="RW37" s="11"/>
      <c r="RX37" s="11"/>
    </row>
    <row r="38" spans="1:492" s="143" customFormat="1" ht="30" customHeight="1">
      <c r="A38" s="783"/>
      <c r="B38" s="103"/>
      <c r="C38" s="103"/>
      <c r="D38" s="103"/>
      <c r="E38" s="103"/>
      <c r="F38" s="103"/>
      <c r="G38" s="103"/>
      <c r="H38" s="103"/>
      <c r="I38" s="103"/>
      <c r="J38" s="103"/>
      <c r="K38" s="103"/>
      <c r="L38" s="103"/>
      <c r="M38" s="103"/>
      <c r="N38" s="103"/>
      <c r="O38" s="103"/>
      <c r="P38" s="103"/>
      <c r="Q38" s="103"/>
      <c r="R38" s="103"/>
      <c r="S38" s="103"/>
      <c r="T38" s="103"/>
      <c r="U38" s="103"/>
      <c r="V38" s="103"/>
      <c r="W38" s="103"/>
      <c r="X38" s="103"/>
      <c r="Y38" s="103"/>
      <c r="Z38" s="103"/>
      <c r="AA38" s="103"/>
      <c r="AB38" s="103"/>
      <c r="AC38" s="103"/>
      <c r="AD38" s="103"/>
      <c r="AE38" s="103"/>
      <c r="AF38" s="103"/>
      <c r="AG38" s="103"/>
      <c r="AH38" s="103"/>
      <c r="AI38" s="103"/>
      <c r="AJ38" s="103"/>
      <c r="AK38" s="103"/>
      <c r="AL38" s="103"/>
      <c r="AM38" s="784"/>
      <c r="AN38" s="784"/>
      <c r="AO38" s="784"/>
      <c r="AP38" s="784"/>
      <c r="AQ38" s="784"/>
      <c r="AR38" s="785"/>
      <c r="AS38" s="785"/>
      <c r="AT38" s="785"/>
      <c r="AU38" s="785"/>
      <c r="AV38" s="785"/>
      <c r="AW38" s="784"/>
      <c r="AX38" s="784"/>
      <c r="AY38" s="784"/>
      <c r="AZ38" s="784"/>
      <c r="BA38" s="146"/>
      <c r="BB38" s="146"/>
      <c r="BC38" s="146"/>
      <c r="BD38" s="146"/>
      <c r="BE38" s="146"/>
      <c r="BF38" s="146"/>
      <c r="BG38" s="146"/>
      <c r="BH38" s="146"/>
      <c r="BI38" s="146"/>
      <c r="BJ38" s="146"/>
      <c r="BK38" s="146"/>
      <c r="BL38" s="146"/>
      <c r="BM38" s="739"/>
      <c r="BN38" s="146"/>
      <c r="BO38" s="146"/>
      <c r="BP38" s="146"/>
      <c r="BQ38" s="146"/>
      <c r="BR38" s="739"/>
      <c r="BS38" s="146"/>
      <c r="BT38" s="146"/>
      <c r="BU38" s="146"/>
      <c r="BV38" s="146"/>
      <c r="BW38" s="739"/>
      <c r="BX38" s="146"/>
      <c r="BY38" s="146"/>
      <c r="BZ38" s="146"/>
      <c r="CA38" s="782"/>
      <c r="CB38" s="898"/>
      <c r="CC38" s="899"/>
      <c r="CD38" s="782"/>
      <c r="CE38" s="782"/>
      <c r="CF38" s="782"/>
      <c r="CG38" s="782"/>
      <c r="CH38" s="782"/>
      <c r="CI38" s="782"/>
      <c r="CJ38" s="782"/>
      <c r="CK38" s="782"/>
      <c r="CL38" s="782"/>
      <c r="CM38" s="782"/>
      <c r="CN38" s="782"/>
      <c r="CO38" s="782"/>
      <c r="CP38" s="782"/>
      <c r="CQ38" s="782"/>
      <c r="CR38" s="782"/>
      <c r="CS38" s="782"/>
      <c r="CT38" s="782"/>
      <c r="CU38" s="782"/>
      <c r="CV38" s="782"/>
      <c r="CW38" s="782"/>
      <c r="CX38" s="782"/>
      <c r="CY38" s="782"/>
      <c r="CZ38" s="782"/>
      <c r="DA38" s="782"/>
      <c r="DB38" s="782"/>
      <c r="DC38" s="782"/>
      <c r="DD38" s="782"/>
      <c r="DE38" s="782"/>
      <c r="DF38" s="782"/>
      <c r="DG38" s="782"/>
      <c r="DH38" s="782"/>
      <c r="DI38" s="782"/>
      <c r="DJ38" s="782"/>
      <c r="DK38" s="782"/>
      <c r="DL38" s="782"/>
      <c r="DM38" s="782"/>
      <c r="DN38" s="782"/>
      <c r="DO38" s="782"/>
      <c r="DP38" s="782"/>
      <c r="DQ38" s="782"/>
      <c r="DR38" s="782"/>
      <c r="DS38" s="782"/>
      <c r="DT38" s="782"/>
      <c r="DU38" s="782"/>
      <c r="DV38" s="782"/>
      <c r="DW38" s="782"/>
      <c r="DX38" s="782"/>
      <c r="DY38" s="782"/>
      <c r="DZ38" s="782"/>
      <c r="EA38" s="782"/>
      <c r="EB38" s="782"/>
      <c r="EC38" s="782"/>
      <c r="ED38" s="782"/>
      <c r="EE38" s="782"/>
      <c r="EF38" s="782"/>
      <c r="EG38" s="782"/>
      <c r="EH38" s="782"/>
      <c r="EI38" s="782"/>
      <c r="EJ38" s="782"/>
      <c r="EK38" s="782"/>
      <c r="EL38" s="782"/>
      <c r="EM38" s="782"/>
      <c r="EN38" s="782"/>
      <c r="EO38" s="782"/>
      <c r="EP38" s="782"/>
      <c r="EQ38" s="782"/>
      <c r="ER38" s="782"/>
      <c r="ES38" s="782"/>
      <c r="ET38" s="782"/>
      <c r="EU38" s="782"/>
      <c r="EV38" s="782"/>
      <c r="EW38" s="782"/>
      <c r="EX38" s="782"/>
      <c r="EY38" s="782"/>
      <c r="EZ38" s="782"/>
      <c r="FA38" s="782"/>
      <c r="FB38" s="782"/>
      <c r="FC38" s="782"/>
      <c r="FD38" s="782"/>
      <c r="FE38" s="782"/>
      <c r="FF38" s="782"/>
      <c r="FG38" s="782"/>
      <c r="FH38" s="782"/>
      <c r="FI38" s="782"/>
      <c r="FJ38" s="782"/>
      <c r="FK38" s="782"/>
      <c r="FL38" s="782"/>
      <c r="FM38" s="782"/>
      <c r="FN38" s="782"/>
      <c r="FO38" s="782"/>
      <c r="FP38" s="782"/>
      <c r="FQ38" s="782"/>
      <c r="FR38" s="782"/>
      <c r="FS38" s="782"/>
      <c r="FT38" s="782"/>
      <c r="FU38" s="782"/>
      <c r="FV38" s="782"/>
      <c r="FW38" s="782"/>
      <c r="FX38" s="782"/>
      <c r="FY38" s="782"/>
      <c r="FZ38" s="782"/>
      <c r="GA38" s="782"/>
      <c r="GB38" s="782"/>
      <c r="GC38" s="782"/>
      <c r="GD38" s="782"/>
      <c r="GE38" s="782"/>
      <c r="GF38" s="782"/>
      <c r="GG38" s="782"/>
      <c r="GH38" s="782"/>
      <c r="GI38" s="782"/>
      <c r="GJ38" s="782"/>
      <c r="GK38" s="782"/>
      <c r="GL38" s="782"/>
      <c r="GM38" s="782"/>
      <c r="GN38" s="782"/>
      <c r="GO38" s="782"/>
      <c r="GP38" s="782"/>
      <c r="GQ38" s="782"/>
      <c r="GR38" s="782"/>
      <c r="GS38" s="782"/>
      <c r="GT38" s="782"/>
      <c r="GU38" s="782"/>
      <c r="GV38" s="782"/>
      <c r="GW38" s="782"/>
      <c r="GX38" s="782"/>
      <c r="GY38" s="782"/>
      <c r="GZ38" s="782"/>
      <c r="HA38" s="782"/>
      <c r="HB38" s="782"/>
      <c r="HC38" s="782"/>
      <c r="HD38" s="782"/>
      <c r="HE38" s="782"/>
      <c r="HF38" s="782"/>
      <c r="HG38" s="782"/>
      <c r="HH38" s="782"/>
      <c r="HI38" s="782"/>
      <c r="HJ38" s="782"/>
      <c r="HK38" s="782"/>
      <c r="HL38" s="782"/>
      <c r="HM38" s="782"/>
      <c r="HN38" s="782"/>
      <c r="HO38" s="782"/>
      <c r="HP38" s="782"/>
      <c r="HQ38" s="782"/>
      <c r="HR38" s="782"/>
      <c r="HS38" s="782"/>
      <c r="HT38" s="782"/>
      <c r="HU38" s="782"/>
      <c r="HV38" s="782"/>
      <c r="HW38" s="782"/>
      <c r="HX38" s="782"/>
      <c r="HY38" s="782"/>
      <c r="HZ38" s="782"/>
      <c r="IA38" s="782"/>
      <c r="IB38" s="782"/>
      <c r="IC38" s="782"/>
      <c r="ID38" s="782"/>
      <c r="IE38" s="782"/>
      <c r="IF38" s="782"/>
      <c r="IG38" s="782"/>
      <c r="IH38" s="782"/>
      <c r="II38" s="782"/>
      <c r="IJ38" s="782"/>
      <c r="IK38" s="782"/>
      <c r="IL38" s="782"/>
      <c r="IM38" s="782"/>
      <c r="IN38" s="782"/>
      <c r="IO38" s="782"/>
      <c r="IP38" s="782"/>
      <c r="IQ38" s="782"/>
      <c r="IR38" s="782"/>
      <c r="IS38" s="782"/>
      <c r="IT38" s="782"/>
      <c r="IU38" s="782"/>
      <c r="IV38" s="782"/>
      <c r="IW38" s="782"/>
      <c r="IX38" s="782"/>
      <c r="IY38" s="782"/>
      <c r="IZ38" s="782"/>
      <c r="JA38" s="782"/>
      <c r="JB38" s="782"/>
      <c r="JC38" s="782"/>
      <c r="JD38" s="782"/>
      <c r="JE38" s="782"/>
      <c r="JF38" s="782"/>
      <c r="JG38" s="782"/>
      <c r="JH38" s="782"/>
      <c r="JI38" s="782"/>
      <c r="JJ38" s="782"/>
      <c r="JK38" s="782"/>
      <c r="JL38" s="782"/>
      <c r="JM38" s="782"/>
      <c r="JN38" s="782"/>
      <c r="JO38" s="782"/>
      <c r="JP38" s="782"/>
      <c r="JQ38" s="782"/>
      <c r="JR38" s="782"/>
      <c r="JS38" s="782"/>
      <c r="JT38" s="782"/>
      <c r="JU38" s="782"/>
      <c r="JV38" s="782"/>
      <c r="JW38" s="782"/>
      <c r="JX38" s="782"/>
      <c r="JY38" s="782"/>
      <c r="JZ38" s="782"/>
      <c r="KA38" s="782"/>
      <c r="KB38" s="782"/>
      <c r="KC38" s="782"/>
      <c r="KD38" s="782"/>
      <c r="KE38" s="782"/>
      <c r="KF38" s="782"/>
      <c r="KG38" s="782"/>
      <c r="KH38" s="782"/>
      <c r="KI38" s="782"/>
      <c r="KJ38" s="782"/>
      <c r="KK38" s="782"/>
      <c r="KL38" s="782"/>
      <c r="KM38" s="782"/>
      <c r="KN38" s="782"/>
      <c r="KO38" s="782"/>
      <c r="KP38" s="782"/>
      <c r="KQ38" s="782"/>
      <c r="KR38" s="782"/>
      <c r="KS38" s="782"/>
      <c r="KT38" s="782"/>
      <c r="KU38" s="782"/>
      <c r="KV38" s="782"/>
      <c r="KW38" s="782"/>
      <c r="KX38" s="782"/>
      <c r="KY38" s="782"/>
      <c r="KZ38" s="782"/>
      <c r="LA38" s="782"/>
      <c r="LB38" s="782"/>
      <c r="LC38" s="782"/>
      <c r="LD38" s="782"/>
      <c r="LE38" s="782"/>
      <c r="LF38" s="782"/>
      <c r="LG38" s="782"/>
      <c r="LH38" s="782"/>
      <c r="LI38" s="782"/>
      <c r="LJ38" s="782"/>
      <c r="LK38" s="782"/>
      <c r="LL38" s="782"/>
      <c r="LM38" s="782"/>
      <c r="LN38" s="782"/>
      <c r="LO38" s="782"/>
      <c r="LP38" s="782"/>
      <c r="LQ38" s="782"/>
      <c r="LR38" s="782"/>
      <c r="LS38" s="782"/>
      <c r="LT38" s="782"/>
      <c r="LU38" s="782"/>
      <c r="LV38" s="782"/>
      <c r="LW38" s="782"/>
      <c r="LX38" s="782"/>
      <c r="LY38" s="782"/>
      <c r="LZ38" s="782"/>
      <c r="MA38" s="782"/>
      <c r="MB38" s="782"/>
      <c r="MC38" s="782"/>
      <c r="MD38" s="782"/>
      <c r="ME38" s="782"/>
      <c r="MF38" s="782"/>
      <c r="MG38" s="782"/>
      <c r="MH38" s="782"/>
      <c r="MI38" s="782"/>
      <c r="MJ38" s="782"/>
      <c r="MK38" s="782"/>
      <c r="ML38" s="782"/>
      <c r="MM38" s="782"/>
      <c r="MN38" s="782"/>
      <c r="MO38" s="782"/>
      <c r="MP38" s="782"/>
      <c r="MQ38" s="782"/>
      <c r="MR38" s="782"/>
      <c r="MS38" s="782"/>
      <c r="MT38" s="782"/>
      <c r="MU38" s="782"/>
      <c r="MV38" s="782"/>
      <c r="MW38" s="782"/>
      <c r="MX38" s="782"/>
      <c r="MY38" s="782"/>
      <c r="MZ38" s="782"/>
      <c r="NA38" s="782"/>
      <c r="NB38" s="782"/>
      <c r="NC38" s="782"/>
      <c r="ND38" s="782"/>
      <c r="NE38" s="782"/>
      <c r="NF38" s="782"/>
      <c r="NG38" s="782"/>
      <c r="NH38" s="782"/>
      <c r="NI38" s="782"/>
      <c r="NJ38" s="782"/>
      <c r="NK38" s="782"/>
      <c r="NL38" s="782"/>
      <c r="NM38" s="782"/>
      <c r="NN38" s="782"/>
      <c r="NO38" s="782"/>
      <c r="NP38" s="782"/>
      <c r="NQ38" s="782"/>
      <c r="NR38" s="782"/>
      <c r="NS38" s="782"/>
      <c r="NT38" s="782"/>
      <c r="NU38" s="782"/>
      <c r="NV38" s="782"/>
      <c r="NW38" s="782"/>
      <c r="NX38" s="782"/>
      <c r="NY38" s="782"/>
      <c r="NZ38" s="782"/>
      <c r="OA38" s="782"/>
      <c r="OB38" s="782"/>
      <c r="OC38" s="782"/>
      <c r="OD38" s="782"/>
      <c r="OE38" s="782"/>
      <c r="OF38" s="782"/>
      <c r="OG38" s="782"/>
      <c r="OH38" s="782"/>
      <c r="OI38" s="782"/>
      <c r="OJ38" s="782"/>
      <c r="OK38" s="782"/>
      <c r="OL38" s="782"/>
      <c r="OM38" s="782"/>
      <c r="ON38" s="782"/>
      <c r="OO38" s="782"/>
      <c r="OP38" s="782"/>
      <c r="OQ38" s="782"/>
      <c r="OR38" s="782"/>
      <c r="OS38" s="782"/>
      <c r="OT38" s="782"/>
      <c r="OU38" s="782"/>
      <c r="OV38" s="782"/>
      <c r="OW38" s="782"/>
      <c r="OX38" s="782"/>
      <c r="OY38" s="782"/>
      <c r="OZ38" s="782"/>
      <c r="PA38" s="782"/>
      <c r="PB38" s="782"/>
      <c r="PC38" s="782"/>
      <c r="PD38" s="782"/>
      <c r="PE38" s="782"/>
      <c r="PF38" s="782"/>
      <c r="PG38" s="782"/>
      <c r="PH38" s="782"/>
      <c r="PI38" s="782"/>
      <c r="PJ38" s="782"/>
      <c r="PK38" s="782"/>
      <c r="PL38" s="782"/>
      <c r="PM38" s="782"/>
      <c r="PN38" s="782"/>
      <c r="PO38" s="782"/>
      <c r="PP38" s="782"/>
      <c r="PQ38" s="782"/>
      <c r="PR38" s="782"/>
      <c r="PS38" s="782"/>
      <c r="PT38" s="782"/>
      <c r="PU38" s="782"/>
      <c r="PV38" s="782"/>
      <c r="PW38" s="782"/>
      <c r="PX38" s="782"/>
      <c r="PY38" s="782"/>
      <c r="PZ38" s="782"/>
      <c r="QA38" s="782"/>
      <c r="QB38" s="782"/>
      <c r="QC38" s="782"/>
      <c r="QD38" s="782"/>
      <c r="QE38" s="782"/>
      <c r="QF38" s="782"/>
      <c r="QG38" s="782"/>
      <c r="QH38" s="782"/>
      <c r="QI38" s="782"/>
      <c r="QJ38" s="782"/>
      <c r="QK38" s="782"/>
      <c r="QL38" s="782"/>
      <c r="QM38" s="782"/>
      <c r="QN38" s="782"/>
      <c r="QO38" s="782"/>
      <c r="QP38" s="782"/>
      <c r="QQ38" s="782"/>
      <c r="QR38" s="782"/>
      <c r="QS38" s="782"/>
      <c r="QT38" s="782"/>
      <c r="QU38" s="782"/>
      <c r="QV38" s="782"/>
      <c r="QW38" s="782"/>
      <c r="QX38" s="782"/>
      <c r="QY38" s="782"/>
      <c r="QZ38" s="782"/>
      <c r="RA38" s="782"/>
      <c r="RB38" s="782"/>
      <c r="RC38" s="782"/>
      <c r="RD38" s="782"/>
      <c r="RE38" s="782"/>
      <c r="RF38" s="782"/>
      <c r="RG38" s="782"/>
      <c r="RH38" s="782"/>
      <c r="RI38" s="782"/>
      <c r="RJ38" s="782"/>
      <c r="RK38" s="782"/>
      <c r="RL38" s="782"/>
      <c r="RM38" s="782"/>
      <c r="RN38" s="782"/>
      <c r="RO38" s="782"/>
      <c r="RP38" s="782"/>
      <c r="RQ38" s="782"/>
      <c r="RR38" s="782"/>
      <c r="RS38" s="782"/>
      <c r="RT38" s="782"/>
      <c r="RU38" s="782"/>
      <c r="RV38" s="782"/>
      <c r="RW38" s="782"/>
      <c r="RX38" s="782"/>
    </row>
    <row r="39" spans="1:492" s="145" customFormat="1" ht="28.5" customHeight="1">
      <c r="A39" s="96" t="s">
        <v>483</v>
      </c>
      <c r="B39" s="96" t="s">
        <v>484</v>
      </c>
      <c r="C39" s="96"/>
      <c r="D39" s="96"/>
      <c r="E39" s="96"/>
      <c r="F39" s="96"/>
      <c r="G39" s="96"/>
      <c r="H39" s="96"/>
      <c r="I39" s="96"/>
      <c r="J39" s="96"/>
      <c r="K39" s="96"/>
      <c r="L39" s="96"/>
      <c r="M39" s="96"/>
      <c r="N39" s="96"/>
      <c r="O39" s="96"/>
      <c r="P39" s="96"/>
      <c r="Q39" s="96"/>
      <c r="R39" s="96"/>
      <c r="S39" s="96"/>
      <c r="T39" s="96"/>
      <c r="U39" s="96"/>
      <c r="V39" s="96"/>
      <c r="W39" s="96"/>
      <c r="X39" s="96"/>
      <c r="Y39" s="96"/>
      <c r="Z39" s="96"/>
      <c r="AA39" s="96"/>
      <c r="AB39" s="96"/>
      <c r="AC39" s="96"/>
      <c r="AD39" s="96"/>
      <c r="AE39" s="96"/>
      <c r="AF39" s="96"/>
      <c r="AG39" s="96"/>
      <c r="AH39" s="96"/>
      <c r="AI39" s="96"/>
      <c r="AJ39" s="96"/>
      <c r="AK39" s="96"/>
      <c r="AL39" s="96"/>
      <c r="AM39" s="786"/>
      <c r="AN39" s="786"/>
      <c r="AO39" s="786"/>
      <c r="AP39" s="786"/>
      <c r="AQ39" s="787"/>
      <c r="AR39" s="788"/>
      <c r="AS39" s="788"/>
      <c r="AT39" s="788"/>
      <c r="AU39" s="788"/>
      <c r="AV39" s="788"/>
      <c r="AW39" s="786"/>
      <c r="AX39" s="786"/>
      <c r="AY39" s="786"/>
      <c r="AZ39" s="786"/>
      <c r="BA39" s="147"/>
      <c r="BB39" s="788"/>
      <c r="BC39" s="788"/>
      <c r="BD39" s="788"/>
      <c r="BE39" s="148"/>
      <c r="BF39" s="787"/>
      <c r="BG39" s="788"/>
      <c r="BH39" s="788"/>
      <c r="BI39" s="788"/>
      <c r="BJ39" s="148"/>
      <c r="BK39" s="469"/>
      <c r="BL39" s="788"/>
      <c r="BM39" s="788"/>
      <c r="BN39" s="767"/>
      <c r="BO39" s="767"/>
      <c r="BP39" s="469"/>
      <c r="BQ39" s="788"/>
      <c r="BR39" s="788"/>
      <c r="BS39" s="788"/>
      <c r="BT39" s="767"/>
      <c r="BU39" s="469"/>
      <c r="BV39" s="788"/>
      <c r="BW39" s="788"/>
      <c r="BX39" s="788"/>
      <c r="BY39" s="767"/>
      <c r="BZ39" s="469"/>
      <c r="CA39" s="900"/>
      <c r="CB39" s="789"/>
      <c r="CC39" s="789"/>
      <c r="CD39" s="789"/>
      <c r="CE39" s="789"/>
      <c r="CF39" s="789"/>
      <c r="CG39" s="789"/>
      <c r="CH39" s="789"/>
      <c r="CI39" s="789"/>
      <c r="CJ39" s="789"/>
      <c r="CK39" s="789"/>
      <c r="CL39" s="789"/>
      <c r="CM39" s="789"/>
      <c r="CN39" s="789"/>
      <c r="CO39" s="789"/>
      <c r="CP39" s="789"/>
      <c r="CQ39" s="789"/>
      <c r="CR39" s="789"/>
      <c r="CS39" s="789"/>
      <c r="CT39" s="789"/>
      <c r="CU39" s="789"/>
      <c r="CV39" s="789"/>
      <c r="CW39" s="789"/>
      <c r="CX39" s="789"/>
      <c r="CY39" s="789"/>
      <c r="CZ39" s="789"/>
      <c r="DA39" s="789"/>
      <c r="DB39" s="789"/>
      <c r="DC39" s="789"/>
      <c r="DD39" s="789"/>
      <c r="DE39" s="789"/>
      <c r="DF39" s="789"/>
      <c r="DG39" s="789"/>
      <c r="DH39" s="789"/>
      <c r="DI39" s="789"/>
      <c r="DJ39" s="789"/>
      <c r="DK39" s="789"/>
      <c r="DL39" s="789"/>
      <c r="DM39" s="789"/>
      <c r="DN39" s="789"/>
      <c r="DO39" s="789"/>
      <c r="DP39" s="789"/>
      <c r="DQ39" s="789"/>
      <c r="DR39" s="789"/>
      <c r="DS39" s="789"/>
      <c r="DT39" s="789"/>
      <c r="DU39" s="789"/>
      <c r="DV39" s="789"/>
      <c r="DW39" s="789"/>
      <c r="DX39" s="789"/>
      <c r="DY39" s="789"/>
      <c r="DZ39" s="789"/>
      <c r="EA39" s="789"/>
      <c r="EB39" s="789"/>
      <c r="EC39" s="789"/>
      <c r="ED39" s="789"/>
      <c r="EE39" s="789"/>
      <c r="EF39" s="789"/>
      <c r="EG39" s="789"/>
      <c r="EH39" s="789"/>
      <c r="EI39" s="789"/>
      <c r="EJ39" s="789"/>
      <c r="EK39" s="789"/>
      <c r="EL39" s="789"/>
      <c r="EM39" s="789"/>
      <c r="EN39" s="789"/>
      <c r="EO39" s="789"/>
      <c r="EP39" s="789"/>
      <c r="EQ39" s="789"/>
      <c r="ER39" s="789"/>
      <c r="ES39" s="789"/>
      <c r="ET39" s="789"/>
      <c r="EU39" s="789"/>
      <c r="EV39" s="789"/>
      <c r="EW39" s="789"/>
      <c r="EX39" s="789"/>
      <c r="EY39" s="789"/>
      <c r="EZ39" s="789"/>
      <c r="FA39" s="789"/>
      <c r="FB39" s="789"/>
      <c r="FC39" s="789"/>
      <c r="FD39" s="789"/>
      <c r="FE39" s="789"/>
      <c r="FF39" s="789"/>
      <c r="FG39" s="789"/>
      <c r="FH39" s="789"/>
      <c r="FI39" s="789"/>
      <c r="FJ39" s="789"/>
      <c r="FK39" s="789"/>
      <c r="FL39" s="789"/>
      <c r="FM39" s="789"/>
      <c r="FN39" s="789"/>
      <c r="FO39" s="789"/>
      <c r="FP39" s="789"/>
      <c r="FQ39" s="789"/>
      <c r="FR39" s="789"/>
      <c r="FS39" s="789"/>
      <c r="FT39" s="789"/>
      <c r="FU39" s="789"/>
      <c r="FV39" s="789"/>
      <c r="FW39" s="789"/>
      <c r="FX39" s="789"/>
      <c r="FY39" s="789"/>
      <c r="FZ39" s="789"/>
      <c r="GA39" s="789"/>
      <c r="GB39" s="789"/>
      <c r="GC39" s="789"/>
      <c r="GD39" s="789"/>
      <c r="GE39" s="789"/>
      <c r="GF39" s="789"/>
      <c r="GG39" s="789"/>
      <c r="GH39" s="789"/>
      <c r="GI39" s="789"/>
      <c r="GJ39" s="789"/>
      <c r="GK39" s="789"/>
      <c r="GL39" s="789"/>
      <c r="GM39" s="789"/>
      <c r="GN39" s="789"/>
      <c r="GO39" s="789"/>
      <c r="GP39" s="789"/>
      <c r="GQ39" s="789"/>
      <c r="GR39" s="789"/>
      <c r="GS39" s="789"/>
      <c r="GT39" s="789"/>
      <c r="GU39" s="789"/>
      <c r="GV39" s="789"/>
      <c r="GW39" s="789"/>
      <c r="GX39" s="789"/>
      <c r="GY39" s="789"/>
      <c r="GZ39" s="789"/>
      <c r="HA39" s="789"/>
      <c r="HB39" s="789"/>
      <c r="HC39" s="789"/>
      <c r="HD39" s="789"/>
      <c r="HE39" s="789"/>
      <c r="HF39" s="789"/>
      <c r="HG39" s="789"/>
      <c r="HH39" s="789"/>
      <c r="HI39" s="789"/>
      <c r="HJ39" s="789"/>
      <c r="HK39" s="789"/>
      <c r="HL39" s="789"/>
      <c r="HM39" s="789"/>
      <c r="HN39" s="789"/>
      <c r="HO39" s="789"/>
      <c r="HP39" s="789"/>
      <c r="HQ39" s="789"/>
      <c r="HR39" s="789"/>
      <c r="HS39" s="789"/>
      <c r="HT39" s="789"/>
      <c r="HU39" s="789"/>
      <c r="HV39" s="789"/>
      <c r="HW39" s="789"/>
      <c r="HX39" s="789"/>
      <c r="HY39" s="789"/>
      <c r="HZ39" s="789"/>
      <c r="IA39" s="789"/>
      <c r="IB39" s="789"/>
      <c r="IC39" s="789"/>
      <c r="ID39" s="789"/>
      <c r="IE39" s="789"/>
      <c r="IF39" s="789"/>
      <c r="IG39" s="789"/>
      <c r="IH39" s="789"/>
      <c r="II39" s="789"/>
      <c r="IJ39" s="789"/>
      <c r="IK39" s="789"/>
      <c r="IL39" s="789"/>
      <c r="IM39" s="789"/>
      <c r="IN39" s="789"/>
      <c r="IO39" s="789"/>
      <c r="IP39" s="789"/>
      <c r="IQ39" s="789"/>
      <c r="IR39" s="789"/>
      <c r="IS39" s="789"/>
      <c r="IT39" s="789"/>
      <c r="IU39" s="789"/>
      <c r="IV39" s="789"/>
      <c r="IW39" s="789"/>
      <c r="IX39" s="789"/>
      <c r="IY39" s="789"/>
      <c r="IZ39" s="789"/>
      <c r="JA39" s="789"/>
      <c r="JB39" s="789"/>
      <c r="JC39" s="789"/>
      <c r="JD39" s="789"/>
      <c r="JE39" s="789"/>
      <c r="JF39" s="789"/>
      <c r="JG39" s="789"/>
      <c r="JH39" s="789"/>
      <c r="JI39" s="789"/>
      <c r="JJ39" s="789"/>
      <c r="JK39" s="789"/>
      <c r="JL39" s="789"/>
      <c r="JM39" s="789"/>
      <c r="JN39" s="789"/>
      <c r="JO39" s="789"/>
      <c r="JP39" s="789"/>
      <c r="JQ39" s="789"/>
      <c r="JR39" s="789"/>
      <c r="JS39" s="789"/>
      <c r="JT39" s="789"/>
      <c r="JU39" s="789"/>
      <c r="JV39" s="789"/>
      <c r="JW39" s="789"/>
      <c r="JX39" s="789"/>
      <c r="JY39" s="789"/>
      <c r="JZ39" s="789"/>
      <c r="KA39" s="789"/>
      <c r="KB39" s="789"/>
      <c r="KC39" s="789"/>
      <c r="KD39" s="789"/>
      <c r="KE39" s="789"/>
      <c r="KF39" s="789"/>
      <c r="KG39" s="789"/>
      <c r="KH39" s="789"/>
      <c r="KI39" s="789"/>
      <c r="KJ39" s="789"/>
      <c r="KK39" s="789"/>
      <c r="KL39" s="789"/>
      <c r="KM39" s="789"/>
      <c r="KN39" s="789"/>
      <c r="KO39" s="789"/>
      <c r="KP39" s="789"/>
      <c r="KQ39" s="789"/>
      <c r="KR39" s="789"/>
      <c r="KS39" s="789"/>
      <c r="KT39" s="789"/>
      <c r="KU39" s="789"/>
      <c r="KV39" s="789"/>
      <c r="KW39" s="789"/>
      <c r="KX39" s="789"/>
      <c r="KY39" s="789"/>
      <c r="KZ39" s="789"/>
      <c r="LA39" s="789"/>
      <c r="LB39" s="789"/>
      <c r="LC39" s="789"/>
      <c r="LD39" s="789"/>
      <c r="LE39" s="789"/>
      <c r="LF39" s="789"/>
      <c r="LG39" s="789"/>
      <c r="LH39" s="789"/>
      <c r="LI39" s="789"/>
      <c r="LJ39" s="789"/>
      <c r="LK39" s="789"/>
      <c r="LL39" s="789"/>
      <c r="LM39" s="789"/>
      <c r="LN39" s="789"/>
      <c r="LO39" s="789"/>
      <c r="LP39" s="789"/>
      <c r="LQ39" s="789"/>
      <c r="LR39" s="789"/>
      <c r="LS39" s="789"/>
      <c r="LT39" s="789"/>
      <c r="LU39" s="789"/>
      <c r="LV39" s="789"/>
      <c r="LW39" s="789"/>
      <c r="LX39" s="789"/>
      <c r="LY39" s="789"/>
      <c r="LZ39" s="789"/>
      <c r="MA39" s="789"/>
      <c r="MB39" s="789"/>
      <c r="MC39" s="789"/>
      <c r="MD39" s="789"/>
      <c r="ME39" s="789"/>
      <c r="MF39" s="789"/>
      <c r="MG39" s="789"/>
      <c r="MH39" s="789"/>
      <c r="MI39" s="789"/>
      <c r="MJ39" s="789"/>
      <c r="MK39" s="789"/>
      <c r="ML39" s="789"/>
      <c r="MM39" s="789"/>
      <c r="MN39" s="789"/>
      <c r="MO39" s="789"/>
      <c r="MP39" s="789"/>
      <c r="MQ39" s="789"/>
      <c r="MR39" s="789"/>
      <c r="MS39" s="789"/>
      <c r="MT39" s="789"/>
      <c r="MU39" s="789"/>
      <c r="MV39" s="789"/>
      <c r="MW39" s="789"/>
      <c r="MX39" s="789"/>
      <c r="MY39" s="789"/>
      <c r="MZ39" s="789"/>
      <c r="NA39" s="789"/>
      <c r="NB39" s="789"/>
      <c r="NC39" s="789"/>
      <c r="ND39" s="789"/>
      <c r="NE39" s="789"/>
      <c r="NF39" s="789"/>
      <c r="NG39" s="789"/>
      <c r="NH39" s="789"/>
      <c r="NI39" s="789"/>
      <c r="NJ39" s="789"/>
      <c r="NK39" s="789"/>
      <c r="NL39" s="789"/>
      <c r="NM39" s="789"/>
      <c r="NN39" s="789"/>
      <c r="NO39" s="789"/>
      <c r="NP39" s="789"/>
      <c r="NQ39" s="789"/>
      <c r="NR39" s="789"/>
      <c r="NS39" s="789"/>
      <c r="NT39" s="789"/>
      <c r="NU39" s="789"/>
      <c r="NV39" s="789"/>
      <c r="NW39" s="789"/>
      <c r="NX39" s="789"/>
      <c r="NY39" s="789"/>
      <c r="NZ39" s="789"/>
      <c r="OA39" s="789"/>
      <c r="OB39" s="789"/>
      <c r="OC39" s="789"/>
      <c r="OD39" s="789"/>
      <c r="OE39" s="789"/>
      <c r="OF39" s="789"/>
      <c r="OG39" s="789"/>
      <c r="OH39" s="789"/>
      <c r="OI39" s="789"/>
      <c r="OJ39" s="789"/>
      <c r="OK39" s="789"/>
      <c r="OL39" s="789"/>
      <c r="OM39" s="789"/>
      <c r="ON39" s="789"/>
      <c r="OO39" s="789"/>
      <c r="OP39" s="789"/>
      <c r="OQ39" s="789"/>
      <c r="OR39" s="789"/>
      <c r="OS39" s="789"/>
      <c r="OT39" s="789"/>
      <c r="OU39" s="789"/>
      <c r="OV39" s="789"/>
      <c r="OW39" s="789"/>
      <c r="OX39" s="789"/>
      <c r="OY39" s="789"/>
      <c r="OZ39" s="789"/>
      <c r="PA39" s="789"/>
      <c r="PB39" s="789"/>
      <c r="PC39" s="789"/>
      <c r="PD39" s="789"/>
      <c r="PE39" s="789"/>
      <c r="PF39" s="789"/>
      <c r="PG39" s="789"/>
      <c r="PH39" s="789"/>
      <c r="PI39" s="789"/>
      <c r="PJ39" s="789"/>
      <c r="PK39" s="789"/>
      <c r="PL39" s="789"/>
      <c r="PM39" s="789"/>
      <c r="PN39" s="789"/>
      <c r="PO39" s="789"/>
      <c r="PP39" s="789"/>
      <c r="PQ39" s="789"/>
      <c r="PR39" s="789"/>
      <c r="PS39" s="789"/>
      <c r="PT39" s="789"/>
      <c r="PU39" s="789"/>
      <c r="PV39" s="789"/>
      <c r="PW39" s="789"/>
      <c r="PX39" s="789"/>
      <c r="PY39" s="789"/>
      <c r="PZ39" s="789"/>
      <c r="QA39" s="789"/>
      <c r="QB39" s="789"/>
      <c r="QC39" s="789"/>
      <c r="QD39" s="789"/>
      <c r="QE39" s="789"/>
      <c r="QF39" s="789"/>
      <c r="QG39" s="789"/>
      <c r="QH39" s="789"/>
      <c r="QI39" s="789"/>
      <c r="QJ39" s="789"/>
      <c r="QK39" s="789"/>
      <c r="QL39" s="789"/>
      <c r="QM39" s="789"/>
      <c r="QN39" s="789"/>
      <c r="QO39" s="789"/>
      <c r="QP39" s="789"/>
      <c r="QQ39" s="789"/>
      <c r="QR39" s="789"/>
      <c r="QS39" s="789"/>
      <c r="QT39" s="789"/>
      <c r="QU39" s="789"/>
      <c r="QV39" s="789"/>
      <c r="QW39" s="789"/>
      <c r="QX39" s="789"/>
      <c r="QY39" s="789"/>
      <c r="QZ39" s="789"/>
      <c r="RA39" s="789"/>
      <c r="RB39" s="789"/>
      <c r="RC39" s="789"/>
      <c r="RD39" s="789"/>
      <c r="RE39" s="789"/>
      <c r="RF39" s="789"/>
      <c r="RG39" s="789"/>
      <c r="RH39" s="789"/>
      <c r="RI39" s="789"/>
      <c r="RJ39" s="789"/>
      <c r="RK39" s="789"/>
      <c r="RL39" s="789"/>
      <c r="RM39" s="789"/>
      <c r="RN39" s="789"/>
      <c r="RO39" s="789"/>
      <c r="RP39" s="789"/>
      <c r="RQ39" s="789"/>
      <c r="RR39" s="789"/>
      <c r="RS39" s="789"/>
      <c r="RT39" s="789"/>
      <c r="RU39" s="789"/>
      <c r="RV39" s="789"/>
      <c r="RW39" s="789"/>
      <c r="RX39" s="789"/>
    </row>
    <row r="40" spans="1:492" s="145" customFormat="1" ht="28.5" customHeight="1">
      <c r="A40" s="126" t="s">
        <v>485</v>
      </c>
      <c r="B40" s="126" t="s">
        <v>486</v>
      </c>
      <c r="C40" s="96"/>
      <c r="D40" s="96"/>
      <c r="E40" s="96"/>
      <c r="F40" s="96"/>
      <c r="G40" s="96"/>
      <c r="H40" s="96"/>
      <c r="I40" s="96"/>
      <c r="J40" s="96"/>
      <c r="K40" s="96"/>
      <c r="L40" s="96"/>
      <c r="M40" s="96"/>
      <c r="N40" s="96"/>
      <c r="O40" s="96"/>
      <c r="P40" s="96"/>
      <c r="Q40" s="96"/>
      <c r="R40" s="96"/>
      <c r="S40" s="96"/>
      <c r="T40" s="96"/>
      <c r="U40" s="96"/>
      <c r="V40" s="96"/>
      <c r="W40" s="96"/>
      <c r="X40" s="96"/>
      <c r="Y40" s="96"/>
      <c r="Z40" s="96"/>
      <c r="AA40" s="96"/>
      <c r="AB40" s="96"/>
      <c r="AC40" s="96"/>
      <c r="AD40" s="96"/>
      <c r="AE40" s="96"/>
      <c r="AF40" s="96"/>
      <c r="AG40" s="96"/>
      <c r="AH40" s="96"/>
      <c r="AI40" s="96"/>
      <c r="AJ40" s="96"/>
      <c r="AK40" s="96"/>
      <c r="AL40" s="96"/>
      <c r="AM40" s="786"/>
      <c r="AN40" s="786"/>
      <c r="AO40" s="786"/>
      <c r="AP40" s="786"/>
      <c r="AQ40" s="787"/>
      <c r="AR40" s="788"/>
      <c r="AS40" s="788"/>
      <c r="AT40" s="788"/>
      <c r="AU40" s="788"/>
      <c r="AV40" s="788"/>
      <c r="AW40" s="786"/>
      <c r="AX40" s="786"/>
      <c r="AY40" s="786"/>
      <c r="AZ40" s="786"/>
      <c r="BA40" s="147"/>
      <c r="BB40" s="788"/>
      <c r="BC40" s="788"/>
      <c r="BD40" s="788"/>
      <c r="BE40" s="148"/>
      <c r="BF40" s="787"/>
      <c r="BG40" s="788"/>
      <c r="BH40" s="788"/>
      <c r="BI40" s="788"/>
      <c r="BJ40" s="148"/>
      <c r="BK40" s="469"/>
      <c r="BL40" s="788"/>
      <c r="BM40" s="788"/>
      <c r="BN40" s="788"/>
      <c r="BO40" s="148"/>
      <c r="BP40" s="469"/>
      <c r="BQ40" s="788"/>
      <c r="BR40" s="788"/>
      <c r="BS40" s="788"/>
      <c r="BT40" s="148"/>
      <c r="BU40" s="469"/>
      <c r="BV40" s="788"/>
      <c r="BW40" s="788"/>
      <c r="BX40" s="788"/>
      <c r="BY40" s="148"/>
      <c r="BZ40" s="900"/>
      <c r="CA40" s="789"/>
      <c r="CB40" s="789"/>
      <c r="CC40" s="789"/>
      <c r="CD40" s="789"/>
      <c r="CE40" s="789"/>
      <c r="CF40" s="789"/>
      <c r="CG40" s="789"/>
      <c r="CH40" s="789"/>
      <c r="CI40" s="789"/>
      <c r="CJ40" s="789"/>
      <c r="CK40" s="789"/>
      <c r="CL40" s="789"/>
      <c r="CM40" s="789"/>
      <c r="CN40" s="789"/>
      <c r="CO40" s="789"/>
      <c r="CP40" s="789"/>
      <c r="CQ40" s="789"/>
      <c r="CR40" s="789"/>
      <c r="CS40" s="789"/>
      <c r="CT40" s="789"/>
      <c r="CU40" s="789"/>
      <c r="CV40" s="789"/>
      <c r="CW40" s="789"/>
      <c r="CX40" s="789"/>
      <c r="CY40" s="789"/>
      <c r="CZ40" s="789"/>
      <c r="DA40" s="789"/>
      <c r="DB40" s="789"/>
      <c r="DC40" s="789"/>
      <c r="DD40" s="789"/>
      <c r="DE40" s="789"/>
      <c r="DF40" s="789"/>
      <c r="DG40" s="789"/>
      <c r="DH40" s="789"/>
      <c r="DI40" s="789"/>
      <c r="DJ40" s="789"/>
      <c r="DK40" s="789"/>
      <c r="DL40" s="789"/>
      <c r="DM40" s="789"/>
      <c r="DN40" s="789"/>
      <c r="DO40" s="789"/>
      <c r="DP40" s="789"/>
      <c r="DQ40" s="789"/>
      <c r="DR40" s="789"/>
      <c r="DS40" s="789"/>
      <c r="DT40" s="789"/>
      <c r="DU40" s="789"/>
      <c r="DV40" s="789"/>
      <c r="DW40" s="789"/>
      <c r="DX40" s="789"/>
      <c r="DY40" s="789"/>
      <c r="DZ40" s="789"/>
      <c r="EA40" s="789"/>
      <c r="EB40" s="789"/>
      <c r="EC40" s="789"/>
      <c r="ED40" s="789"/>
      <c r="EE40" s="789"/>
      <c r="EF40" s="789"/>
      <c r="EG40" s="789"/>
      <c r="EH40" s="789"/>
      <c r="EI40" s="789"/>
      <c r="EJ40" s="789"/>
      <c r="EK40" s="789"/>
      <c r="EL40" s="789"/>
      <c r="EM40" s="789"/>
      <c r="EN40" s="789"/>
      <c r="EO40" s="789"/>
      <c r="EP40" s="789"/>
      <c r="EQ40" s="789"/>
      <c r="ER40" s="789"/>
      <c r="ES40" s="789"/>
      <c r="ET40" s="789"/>
      <c r="EU40" s="789"/>
      <c r="EV40" s="789"/>
      <c r="EW40" s="789"/>
      <c r="EX40" s="789"/>
      <c r="EY40" s="789"/>
      <c r="EZ40" s="789"/>
      <c r="FA40" s="789"/>
      <c r="FB40" s="789"/>
      <c r="FC40" s="789"/>
      <c r="FD40" s="789"/>
      <c r="FE40" s="789"/>
      <c r="FF40" s="789"/>
      <c r="FG40" s="789"/>
      <c r="FH40" s="789"/>
      <c r="FI40" s="789"/>
      <c r="FJ40" s="789"/>
      <c r="FK40" s="789"/>
      <c r="FL40" s="789"/>
      <c r="FM40" s="789"/>
      <c r="FN40" s="789"/>
      <c r="FO40" s="789"/>
      <c r="FP40" s="789"/>
      <c r="FQ40" s="789"/>
      <c r="FR40" s="789"/>
      <c r="FS40" s="789"/>
      <c r="FT40" s="789"/>
      <c r="FU40" s="789"/>
      <c r="FV40" s="789"/>
      <c r="FW40" s="789"/>
      <c r="FX40" s="789"/>
      <c r="FY40" s="789"/>
      <c r="FZ40" s="789"/>
      <c r="GA40" s="789"/>
      <c r="GB40" s="789"/>
      <c r="GC40" s="789"/>
      <c r="GD40" s="789"/>
      <c r="GE40" s="789"/>
      <c r="GF40" s="789"/>
      <c r="GG40" s="789"/>
      <c r="GH40" s="789"/>
      <c r="GI40" s="789"/>
      <c r="GJ40" s="789"/>
      <c r="GK40" s="789"/>
      <c r="GL40" s="789"/>
      <c r="GM40" s="789"/>
      <c r="GN40" s="789"/>
      <c r="GO40" s="789"/>
      <c r="GP40" s="789"/>
      <c r="GQ40" s="789"/>
      <c r="GR40" s="789"/>
      <c r="GS40" s="789"/>
      <c r="GT40" s="789"/>
      <c r="GU40" s="789"/>
      <c r="GV40" s="789"/>
      <c r="GW40" s="789"/>
      <c r="GX40" s="789"/>
      <c r="GY40" s="789"/>
      <c r="GZ40" s="789"/>
      <c r="HA40" s="789"/>
      <c r="HB40" s="789"/>
      <c r="HC40" s="789"/>
      <c r="HD40" s="789"/>
      <c r="HE40" s="789"/>
      <c r="HF40" s="789"/>
      <c r="HG40" s="789"/>
      <c r="HH40" s="789"/>
      <c r="HI40" s="789"/>
      <c r="HJ40" s="789"/>
      <c r="HK40" s="789"/>
      <c r="HL40" s="789"/>
      <c r="HM40" s="789"/>
      <c r="HN40" s="789"/>
      <c r="HO40" s="789"/>
      <c r="HP40" s="789"/>
      <c r="HQ40" s="789"/>
      <c r="HR40" s="789"/>
      <c r="HS40" s="789"/>
      <c r="HT40" s="789"/>
      <c r="HU40" s="789"/>
      <c r="HV40" s="789"/>
      <c r="HW40" s="789"/>
      <c r="HX40" s="789"/>
      <c r="HY40" s="789"/>
      <c r="HZ40" s="789"/>
      <c r="IA40" s="789"/>
      <c r="IB40" s="789"/>
      <c r="IC40" s="789"/>
      <c r="ID40" s="789"/>
      <c r="IE40" s="789"/>
      <c r="IF40" s="789"/>
      <c r="IG40" s="789"/>
      <c r="IH40" s="789"/>
      <c r="II40" s="789"/>
      <c r="IJ40" s="789"/>
      <c r="IK40" s="789"/>
      <c r="IL40" s="789"/>
      <c r="IM40" s="789"/>
      <c r="IN40" s="789"/>
      <c r="IO40" s="789"/>
      <c r="IP40" s="789"/>
      <c r="IQ40" s="789"/>
      <c r="IR40" s="789"/>
      <c r="IS40" s="789"/>
      <c r="IT40" s="789"/>
      <c r="IU40" s="789"/>
      <c r="IV40" s="789"/>
      <c r="IW40" s="789"/>
      <c r="IX40" s="789"/>
      <c r="IY40" s="789"/>
      <c r="IZ40" s="789"/>
      <c r="JA40" s="789"/>
      <c r="JB40" s="789"/>
      <c r="JC40" s="789"/>
      <c r="JD40" s="789"/>
      <c r="JE40" s="789"/>
      <c r="JF40" s="789"/>
      <c r="JG40" s="789"/>
      <c r="JH40" s="789"/>
      <c r="JI40" s="789"/>
      <c r="JJ40" s="789"/>
      <c r="JK40" s="789"/>
      <c r="JL40" s="789"/>
      <c r="JM40" s="789"/>
      <c r="JN40" s="789"/>
      <c r="JO40" s="789"/>
      <c r="JP40" s="789"/>
      <c r="JQ40" s="789"/>
      <c r="JR40" s="789"/>
      <c r="JS40" s="789"/>
      <c r="JT40" s="789"/>
      <c r="JU40" s="789"/>
      <c r="JV40" s="789"/>
      <c r="JW40" s="789"/>
      <c r="JX40" s="789"/>
      <c r="JY40" s="789"/>
      <c r="JZ40" s="789"/>
      <c r="KA40" s="789"/>
      <c r="KB40" s="789"/>
      <c r="KC40" s="789"/>
      <c r="KD40" s="789"/>
      <c r="KE40" s="789"/>
      <c r="KF40" s="789"/>
      <c r="KG40" s="789"/>
      <c r="KH40" s="789"/>
      <c r="KI40" s="789"/>
      <c r="KJ40" s="789"/>
      <c r="KK40" s="789"/>
      <c r="KL40" s="789"/>
      <c r="KM40" s="789"/>
      <c r="KN40" s="789"/>
      <c r="KO40" s="789"/>
      <c r="KP40" s="789"/>
      <c r="KQ40" s="789"/>
      <c r="KR40" s="789"/>
      <c r="KS40" s="789"/>
      <c r="KT40" s="789"/>
      <c r="KU40" s="789"/>
      <c r="KV40" s="789"/>
      <c r="KW40" s="789"/>
      <c r="KX40" s="789"/>
      <c r="KY40" s="789"/>
      <c r="KZ40" s="789"/>
      <c r="LA40" s="789"/>
      <c r="LB40" s="789"/>
      <c r="LC40" s="789"/>
      <c r="LD40" s="789"/>
      <c r="LE40" s="789"/>
      <c r="LF40" s="789"/>
      <c r="LG40" s="789"/>
      <c r="LH40" s="789"/>
      <c r="LI40" s="789"/>
      <c r="LJ40" s="789"/>
      <c r="LK40" s="789"/>
      <c r="LL40" s="789"/>
      <c r="LM40" s="789"/>
      <c r="LN40" s="789"/>
      <c r="LO40" s="789"/>
      <c r="LP40" s="789"/>
      <c r="LQ40" s="789"/>
      <c r="LR40" s="789"/>
      <c r="LS40" s="789"/>
      <c r="LT40" s="789"/>
      <c r="LU40" s="789"/>
      <c r="LV40" s="789"/>
      <c r="LW40" s="789"/>
      <c r="LX40" s="789"/>
      <c r="LY40" s="789"/>
      <c r="LZ40" s="789"/>
      <c r="MA40" s="789"/>
      <c r="MB40" s="789"/>
      <c r="MC40" s="789"/>
      <c r="MD40" s="789"/>
      <c r="ME40" s="789"/>
      <c r="MF40" s="789"/>
      <c r="MG40" s="789"/>
      <c r="MH40" s="789"/>
      <c r="MI40" s="789"/>
      <c r="MJ40" s="789"/>
      <c r="MK40" s="789"/>
      <c r="ML40" s="789"/>
      <c r="MM40" s="789"/>
      <c r="MN40" s="789"/>
      <c r="MO40" s="789"/>
      <c r="MP40" s="789"/>
      <c r="MQ40" s="789"/>
      <c r="MR40" s="789"/>
      <c r="MS40" s="789"/>
      <c r="MT40" s="789"/>
      <c r="MU40" s="789"/>
      <c r="MV40" s="789"/>
      <c r="MW40" s="789"/>
      <c r="MX40" s="789"/>
      <c r="MY40" s="789"/>
      <c r="MZ40" s="789"/>
      <c r="NA40" s="789"/>
      <c r="NB40" s="789"/>
      <c r="NC40" s="789"/>
      <c r="ND40" s="789"/>
      <c r="NE40" s="789"/>
      <c r="NF40" s="789"/>
      <c r="NG40" s="789"/>
      <c r="NH40" s="789"/>
      <c r="NI40" s="789"/>
      <c r="NJ40" s="789"/>
      <c r="NK40" s="789"/>
      <c r="NL40" s="789"/>
      <c r="NM40" s="789"/>
      <c r="NN40" s="789"/>
      <c r="NO40" s="789"/>
      <c r="NP40" s="789"/>
      <c r="NQ40" s="789"/>
      <c r="NR40" s="789"/>
      <c r="NS40" s="789"/>
      <c r="NT40" s="789"/>
      <c r="NU40" s="789"/>
      <c r="NV40" s="789"/>
      <c r="NW40" s="789"/>
      <c r="NX40" s="789"/>
      <c r="NY40" s="789"/>
      <c r="NZ40" s="789"/>
      <c r="OA40" s="789"/>
      <c r="OB40" s="789"/>
      <c r="OC40" s="789"/>
      <c r="OD40" s="789"/>
      <c r="OE40" s="789"/>
      <c r="OF40" s="789"/>
      <c r="OG40" s="789"/>
      <c r="OH40" s="789"/>
      <c r="OI40" s="789"/>
      <c r="OJ40" s="789"/>
      <c r="OK40" s="789"/>
      <c r="OL40" s="789"/>
      <c r="OM40" s="789"/>
      <c r="ON40" s="789"/>
      <c r="OO40" s="789"/>
      <c r="OP40" s="789"/>
      <c r="OQ40" s="789"/>
      <c r="OR40" s="789"/>
      <c r="OS40" s="789"/>
      <c r="OT40" s="789"/>
      <c r="OU40" s="789"/>
      <c r="OV40" s="789"/>
      <c r="OW40" s="789"/>
      <c r="OX40" s="789"/>
      <c r="OY40" s="789"/>
      <c r="OZ40" s="789"/>
      <c r="PA40" s="789"/>
      <c r="PB40" s="789"/>
      <c r="PC40" s="789"/>
      <c r="PD40" s="789"/>
      <c r="PE40" s="789"/>
      <c r="PF40" s="789"/>
      <c r="PG40" s="789"/>
      <c r="PH40" s="789"/>
      <c r="PI40" s="789"/>
      <c r="PJ40" s="789"/>
      <c r="PK40" s="789"/>
      <c r="PL40" s="789"/>
      <c r="PM40" s="789"/>
      <c r="PN40" s="789"/>
      <c r="PO40" s="789"/>
      <c r="PP40" s="789"/>
      <c r="PQ40" s="789"/>
      <c r="PR40" s="789"/>
      <c r="PS40" s="789"/>
      <c r="PT40" s="789"/>
      <c r="PU40" s="789"/>
      <c r="PV40" s="789"/>
      <c r="PW40" s="789"/>
      <c r="PX40" s="789"/>
      <c r="PY40" s="789"/>
      <c r="PZ40" s="789"/>
      <c r="QA40" s="789"/>
      <c r="QB40" s="789"/>
      <c r="QC40" s="789"/>
      <c r="QD40" s="789"/>
      <c r="QE40" s="789"/>
      <c r="QF40" s="789"/>
      <c r="QG40" s="789"/>
      <c r="QH40" s="789"/>
      <c r="QI40" s="789"/>
      <c r="QJ40" s="789"/>
      <c r="QK40" s="789"/>
      <c r="QL40" s="789"/>
      <c r="QM40" s="789"/>
      <c r="QN40" s="789"/>
      <c r="QO40" s="789"/>
      <c r="QP40" s="789"/>
      <c r="QQ40" s="789"/>
      <c r="QR40" s="789"/>
      <c r="QS40" s="789"/>
      <c r="QT40" s="789"/>
      <c r="QU40" s="789"/>
      <c r="QV40" s="789"/>
      <c r="QW40" s="789"/>
      <c r="QX40" s="789"/>
      <c r="QY40" s="789"/>
      <c r="QZ40" s="789"/>
      <c r="RA40" s="789"/>
      <c r="RB40" s="789"/>
      <c r="RC40" s="789"/>
      <c r="RD40" s="789"/>
      <c r="RE40" s="789"/>
      <c r="RF40" s="789"/>
      <c r="RG40" s="789"/>
      <c r="RH40" s="789"/>
      <c r="RI40" s="789"/>
      <c r="RJ40" s="789"/>
      <c r="RK40" s="789"/>
      <c r="RL40" s="789"/>
      <c r="RM40" s="789"/>
      <c r="RN40" s="789"/>
      <c r="RO40" s="789"/>
      <c r="RP40" s="789"/>
      <c r="RQ40" s="789"/>
      <c r="RR40" s="789"/>
      <c r="RS40" s="789"/>
      <c r="RT40" s="789"/>
      <c r="RU40" s="789"/>
      <c r="RV40" s="789"/>
      <c r="RW40" s="789"/>
      <c r="RX40" s="789"/>
    </row>
    <row r="41" spans="1:492" s="143" customFormat="1" ht="60">
      <c r="A41" s="153" t="s">
        <v>487</v>
      </c>
      <c r="B41" s="163" t="s">
        <v>488</v>
      </c>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3"/>
      <c r="AK41" s="103"/>
      <c r="AL41" s="103"/>
      <c r="AM41" s="790"/>
      <c r="AN41" s="790"/>
      <c r="AO41" s="790"/>
      <c r="AP41" s="790"/>
      <c r="AQ41" s="785"/>
      <c r="AR41" s="790"/>
      <c r="AS41" s="790"/>
      <c r="AT41" s="790"/>
      <c r="AU41" s="790"/>
      <c r="AV41" s="790"/>
      <c r="AW41" s="790"/>
      <c r="AX41" s="790"/>
      <c r="AY41" s="790"/>
      <c r="AZ41" s="790"/>
      <c r="BA41" s="790"/>
      <c r="BB41" s="790"/>
      <c r="BC41" s="790"/>
      <c r="BD41" s="790"/>
      <c r="BE41" s="149"/>
      <c r="BF41" s="785"/>
      <c r="BG41" s="790"/>
      <c r="BH41" s="790"/>
      <c r="BI41" s="483"/>
      <c r="BJ41" s="484"/>
      <c r="BK41" s="785"/>
      <c r="BL41" s="790"/>
      <c r="BM41" s="790"/>
      <c r="BN41" s="483"/>
      <c r="BO41" s="484"/>
      <c r="BP41" s="785"/>
      <c r="BQ41" s="790"/>
      <c r="BR41" s="790"/>
      <c r="BS41" s="483"/>
      <c r="BT41" s="484"/>
      <c r="BU41" s="785"/>
      <c r="BV41" s="790"/>
      <c r="BW41" s="790"/>
      <c r="BX41" s="483"/>
      <c r="BY41" s="484"/>
      <c r="BZ41" s="785"/>
      <c r="CA41" s="782"/>
      <c r="CB41" s="782"/>
      <c r="CC41" s="782"/>
      <c r="CD41" s="782"/>
      <c r="CE41" s="782"/>
      <c r="CF41" s="782"/>
      <c r="CG41" s="782"/>
      <c r="CH41" s="782"/>
      <c r="CI41" s="782"/>
      <c r="CJ41" s="782"/>
      <c r="CK41" s="782"/>
      <c r="CL41" s="782"/>
      <c r="CM41" s="782"/>
      <c r="CN41" s="782"/>
      <c r="CO41" s="782"/>
      <c r="CP41" s="782"/>
      <c r="CQ41" s="782"/>
      <c r="CR41" s="782"/>
      <c r="CS41" s="782"/>
      <c r="CT41" s="782"/>
      <c r="CU41" s="782"/>
      <c r="CV41" s="782"/>
      <c r="CW41" s="782"/>
      <c r="CX41" s="782"/>
      <c r="CY41" s="782"/>
      <c r="CZ41" s="782"/>
      <c r="DA41" s="782"/>
      <c r="DB41" s="782"/>
      <c r="DC41" s="782"/>
      <c r="DD41" s="782"/>
      <c r="DE41" s="782"/>
      <c r="DF41" s="782"/>
      <c r="DG41" s="782"/>
      <c r="DH41" s="782"/>
      <c r="DI41" s="782"/>
      <c r="DJ41" s="782"/>
      <c r="DK41" s="782"/>
      <c r="DL41" s="782"/>
      <c r="DM41" s="782"/>
      <c r="DN41" s="782"/>
      <c r="DO41" s="782"/>
      <c r="DP41" s="782"/>
      <c r="DQ41" s="782"/>
      <c r="DR41" s="782"/>
      <c r="DS41" s="782"/>
      <c r="DT41" s="782"/>
      <c r="DU41" s="782"/>
      <c r="DV41" s="782"/>
      <c r="DW41" s="782"/>
      <c r="DX41" s="782"/>
      <c r="DY41" s="782"/>
      <c r="DZ41" s="782"/>
      <c r="EA41" s="782"/>
      <c r="EB41" s="782"/>
      <c r="EC41" s="782"/>
      <c r="ED41" s="782"/>
      <c r="EE41" s="782"/>
      <c r="EF41" s="782"/>
      <c r="EG41" s="782"/>
      <c r="EH41" s="782"/>
      <c r="EI41" s="782"/>
      <c r="EJ41" s="782"/>
      <c r="EK41" s="782"/>
      <c r="EL41" s="782"/>
      <c r="EM41" s="782"/>
      <c r="EN41" s="782"/>
      <c r="EO41" s="782"/>
      <c r="EP41" s="782"/>
      <c r="EQ41" s="782"/>
      <c r="ER41" s="782"/>
      <c r="ES41" s="782"/>
      <c r="ET41" s="782"/>
      <c r="EU41" s="782"/>
      <c r="EV41" s="782"/>
      <c r="EW41" s="782"/>
      <c r="EX41" s="782"/>
      <c r="EY41" s="782"/>
      <c r="EZ41" s="782"/>
      <c r="FA41" s="782"/>
      <c r="FB41" s="782"/>
      <c r="FC41" s="782"/>
      <c r="FD41" s="782"/>
      <c r="FE41" s="782"/>
      <c r="FF41" s="782"/>
      <c r="FG41" s="782"/>
      <c r="FH41" s="782"/>
      <c r="FI41" s="782"/>
      <c r="FJ41" s="782"/>
      <c r="FK41" s="782"/>
      <c r="FL41" s="782"/>
      <c r="FM41" s="782"/>
      <c r="FN41" s="782"/>
      <c r="FO41" s="782"/>
      <c r="FP41" s="782"/>
      <c r="FQ41" s="782"/>
      <c r="FR41" s="782"/>
      <c r="FS41" s="782"/>
      <c r="FT41" s="782"/>
      <c r="FU41" s="782"/>
      <c r="FV41" s="782"/>
      <c r="FW41" s="782"/>
      <c r="FX41" s="782"/>
      <c r="FY41" s="782"/>
      <c r="FZ41" s="782"/>
      <c r="GA41" s="782"/>
      <c r="GB41" s="782"/>
      <c r="GC41" s="782"/>
      <c r="GD41" s="782"/>
      <c r="GE41" s="782"/>
      <c r="GF41" s="782"/>
      <c r="GG41" s="782"/>
      <c r="GH41" s="782"/>
      <c r="GI41" s="782"/>
      <c r="GJ41" s="782"/>
      <c r="GK41" s="782"/>
      <c r="GL41" s="782"/>
      <c r="GM41" s="782"/>
      <c r="GN41" s="782"/>
      <c r="GO41" s="782"/>
      <c r="GP41" s="782"/>
      <c r="GQ41" s="782"/>
      <c r="GR41" s="782"/>
      <c r="GS41" s="782"/>
      <c r="GT41" s="782"/>
      <c r="GU41" s="782"/>
      <c r="GV41" s="782"/>
      <c r="GW41" s="782"/>
      <c r="GX41" s="782"/>
      <c r="GY41" s="782"/>
      <c r="GZ41" s="782"/>
      <c r="HA41" s="782"/>
      <c r="HB41" s="782"/>
      <c r="HC41" s="782"/>
      <c r="HD41" s="782"/>
      <c r="HE41" s="782"/>
      <c r="HF41" s="782"/>
      <c r="HG41" s="782"/>
      <c r="HH41" s="782"/>
      <c r="HI41" s="782"/>
      <c r="HJ41" s="782"/>
      <c r="HK41" s="782"/>
      <c r="HL41" s="782"/>
      <c r="HM41" s="782"/>
      <c r="HN41" s="782"/>
      <c r="HO41" s="782"/>
      <c r="HP41" s="782"/>
      <c r="HQ41" s="782"/>
      <c r="HR41" s="782"/>
      <c r="HS41" s="782"/>
      <c r="HT41" s="782"/>
      <c r="HU41" s="782"/>
      <c r="HV41" s="782"/>
      <c r="HW41" s="782"/>
      <c r="HX41" s="782"/>
      <c r="HY41" s="782"/>
      <c r="HZ41" s="782"/>
      <c r="IA41" s="782"/>
      <c r="IB41" s="782"/>
      <c r="IC41" s="782"/>
      <c r="ID41" s="782"/>
      <c r="IE41" s="782"/>
      <c r="IF41" s="782"/>
      <c r="IG41" s="782"/>
      <c r="IH41" s="782"/>
      <c r="II41" s="782"/>
      <c r="IJ41" s="782"/>
      <c r="IK41" s="782"/>
      <c r="IL41" s="782"/>
      <c r="IM41" s="782"/>
      <c r="IN41" s="782"/>
      <c r="IO41" s="782"/>
      <c r="IP41" s="782"/>
      <c r="IQ41" s="782"/>
      <c r="IR41" s="782"/>
      <c r="IS41" s="782"/>
      <c r="IT41" s="782"/>
      <c r="IU41" s="782"/>
      <c r="IV41" s="782"/>
      <c r="IW41" s="782"/>
      <c r="IX41" s="782"/>
      <c r="IY41" s="782"/>
      <c r="IZ41" s="782"/>
      <c r="JA41" s="782"/>
      <c r="JB41" s="782"/>
      <c r="JC41" s="782"/>
      <c r="JD41" s="782"/>
      <c r="JE41" s="782"/>
      <c r="JF41" s="782"/>
      <c r="JG41" s="782"/>
      <c r="JH41" s="782"/>
      <c r="JI41" s="782"/>
      <c r="JJ41" s="782"/>
      <c r="JK41" s="782"/>
      <c r="JL41" s="782"/>
      <c r="JM41" s="782"/>
      <c r="JN41" s="782"/>
      <c r="JO41" s="782"/>
      <c r="JP41" s="782"/>
      <c r="JQ41" s="782"/>
      <c r="JR41" s="782"/>
      <c r="JS41" s="782"/>
      <c r="JT41" s="782"/>
      <c r="JU41" s="782"/>
      <c r="JV41" s="782"/>
      <c r="JW41" s="782"/>
      <c r="JX41" s="782"/>
      <c r="JY41" s="782"/>
      <c r="JZ41" s="782"/>
      <c r="KA41" s="782"/>
      <c r="KB41" s="782"/>
      <c r="KC41" s="782"/>
      <c r="KD41" s="782"/>
      <c r="KE41" s="782"/>
      <c r="KF41" s="782"/>
      <c r="KG41" s="782"/>
      <c r="KH41" s="782"/>
      <c r="KI41" s="782"/>
      <c r="KJ41" s="782"/>
      <c r="KK41" s="782"/>
      <c r="KL41" s="782"/>
      <c r="KM41" s="782"/>
      <c r="KN41" s="782"/>
      <c r="KO41" s="782"/>
      <c r="KP41" s="782"/>
      <c r="KQ41" s="782"/>
      <c r="KR41" s="782"/>
      <c r="KS41" s="782"/>
      <c r="KT41" s="782"/>
      <c r="KU41" s="782"/>
      <c r="KV41" s="782"/>
      <c r="KW41" s="782"/>
      <c r="KX41" s="782"/>
      <c r="KY41" s="782"/>
      <c r="KZ41" s="782"/>
      <c r="LA41" s="782"/>
      <c r="LB41" s="782"/>
      <c r="LC41" s="782"/>
      <c r="LD41" s="782"/>
      <c r="LE41" s="782"/>
      <c r="LF41" s="782"/>
      <c r="LG41" s="782"/>
      <c r="LH41" s="782"/>
      <c r="LI41" s="782"/>
      <c r="LJ41" s="782"/>
      <c r="LK41" s="782"/>
      <c r="LL41" s="782"/>
      <c r="LM41" s="782"/>
      <c r="LN41" s="782"/>
      <c r="LO41" s="782"/>
      <c r="LP41" s="782"/>
      <c r="LQ41" s="782"/>
      <c r="LR41" s="782"/>
      <c r="LS41" s="782"/>
      <c r="LT41" s="782"/>
      <c r="LU41" s="782"/>
      <c r="LV41" s="782"/>
      <c r="LW41" s="782"/>
      <c r="LX41" s="782"/>
      <c r="LY41" s="782"/>
      <c r="LZ41" s="782"/>
      <c r="MA41" s="782"/>
      <c r="MB41" s="782"/>
      <c r="MC41" s="782"/>
      <c r="MD41" s="782"/>
      <c r="ME41" s="782"/>
      <c r="MF41" s="782"/>
      <c r="MG41" s="782"/>
      <c r="MH41" s="782"/>
      <c r="MI41" s="782"/>
      <c r="MJ41" s="782"/>
      <c r="MK41" s="782"/>
      <c r="ML41" s="782"/>
      <c r="MM41" s="782"/>
      <c r="MN41" s="782"/>
      <c r="MO41" s="782"/>
      <c r="MP41" s="782"/>
      <c r="MQ41" s="782"/>
      <c r="MR41" s="782"/>
      <c r="MS41" s="782"/>
      <c r="MT41" s="782"/>
      <c r="MU41" s="782"/>
      <c r="MV41" s="782"/>
      <c r="MW41" s="782"/>
      <c r="MX41" s="782"/>
      <c r="MY41" s="782"/>
      <c r="MZ41" s="782"/>
      <c r="NA41" s="782"/>
      <c r="NB41" s="782"/>
      <c r="NC41" s="782"/>
      <c r="ND41" s="782"/>
      <c r="NE41" s="782"/>
      <c r="NF41" s="782"/>
      <c r="NG41" s="782"/>
      <c r="NH41" s="782"/>
      <c r="NI41" s="782"/>
      <c r="NJ41" s="782"/>
      <c r="NK41" s="782"/>
      <c r="NL41" s="782"/>
      <c r="NM41" s="782"/>
      <c r="NN41" s="782"/>
      <c r="NO41" s="782"/>
      <c r="NP41" s="782"/>
      <c r="NQ41" s="782"/>
      <c r="NR41" s="782"/>
      <c r="NS41" s="782"/>
      <c r="NT41" s="782"/>
      <c r="NU41" s="782"/>
      <c r="NV41" s="782"/>
      <c r="NW41" s="782"/>
      <c r="NX41" s="782"/>
      <c r="NY41" s="782"/>
      <c r="NZ41" s="782"/>
      <c r="OA41" s="782"/>
      <c r="OB41" s="782"/>
      <c r="OC41" s="782"/>
      <c r="OD41" s="782"/>
      <c r="OE41" s="782"/>
      <c r="OF41" s="782"/>
      <c r="OG41" s="782"/>
      <c r="OH41" s="782"/>
      <c r="OI41" s="782"/>
      <c r="OJ41" s="782"/>
      <c r="OK41" s="782"/>
      <c r="OL41" s="782"/>
      <c r="OM41" s="782"/>
      <c r="ON41" s="782"/>
      <c r="OO41" s="782"/>
      <c r="OP41" s="782"/>
      <c r="OQ41" s="782"/>
      <c r="OR41" s="782"/>
      <c r="OS41" s="782"/>
      <c r="OT41" s="782"/>
      <c r="OU41" s="782"/>
      <c r="OV41" s="782"/>
      <c r="OW41" s="782"/>
      <c r="OX41" s="782"/>
      <c r="OY41" s="782"/>
      <c r="OZ41" s="782"/>
      <c r="PA41" s="782"/>
      <c r="PB41" s="782"/>
      <c r="PC41" s="782"/>
      <c r="PD41" s="782"/>
      <c r="PE41" s="782"/>
      <c r="PF41" s="782"/>
      <c r="PG41" s="782"/>
      <c r="PH41" s="782"/>
      <c r="PI41" s="782"/>
      <c r="PJ41" s="782"/>
      <c r="PK41" s="782"/>
      <c r="PL41" s="782"/>
      <c r="PM41" s="782"/>
      <c r="PN41" s="782"/>
      <c r="PO41" s="782"/>
      <c r="PP41" s="782"/>
      <c r="PQ41" s="782"/>
      <c r="PR41" s="782"/>
      <c r="PS41" s="782"/>
      <c r="PT41" s="782"/>
      <c r="PU41" s="782"/>
      <c r="PV41" s="782"/>
      <c r="PW41" s="782"/>
      <c r="PX41" s="782"/>
      <c r="PY41" s="782"/>
      <c r="PZ41" s="782"/>
      <c r="QA41" s="782"/>
      <c r="QB41" s="782"/>
      <c r="QC41" s="782"/>
      <c r="QD41" s="782"/>
      <c r="QE41" s="782"/>
      <c r="QF41" s="782"/>
      <c r="QG41" s="782"/>
      <c r="QH41" s="782"/>
      <c r="QI41" s="782"/>
      <c r="QJ41" s="782"/>
      <c r="QK41" s="782"/>
      <c r="QL41" s="782"/>
      <c r="QM41" s="782"/>
      <c r="QN41" s="782"/>
      <c r="QO41" s="782"/>
      <c r="QP41" s="782"/>
      <c r="QQ41" s="782"/>
      <c r="QR41" s="782"/>
      <c r="QS41" s="782"/>
      <c r="QT41" s="782"/>
      <c r="QU41" s="782"/>
      <c r="QV41" s="782"/>
      <c r="QW41" s="782"/>
      <c r="QX41" s="782"/>
      <c r="QY41" s="782"/>
      <c r="QZ41" s="782"/>
      <c r="RA41" s="782"/>
      <c r="RB41" s="782"/>
      <c r="RC41" s="782"/>
      <c r="RD41" s="782"/>
      <c r="RE41" s="782"/>
      <c r="RF41" s="782"/>
      <c r="RG41" s="782"/>
      <c r="RH41" s="782"/>
      <c r="RI41" s="782"/>
      <c r="RJ41" s="782"/>
      <c r="RK41" s="782"/>
      <c r="RL41" s="782"/>
      <c r="RM41" s="782"/>
      <c r="RN41" s="782"/>
      <c r="RO41" s="782"/>
      <c r="RP41" s="782"/>
      <c r="RQ41" s="782"/>
      <c r="RR41" s="782"/>
      <c r="RS41" s="782"/>
      <c r="RT41" s="782"/>
      <c r="RU41" s="782"/>
      <c r="RV41" s="782"/>
      <c r="RW41" s="782"/>
      <c r="RX41" s="782"/>
    </row>
    <row r="42" spans="1:492" s="143" customFormat="1">
      <c r="A42" s="126"/>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785"/>
      <c r="AN42" s="785"/>
      <c r="AO42" s="785"/>
      <c r="AP42" s="785"/>
      <c r="AQ42" s="785"/>
      <c r="AR42" s="785"/>
      <c r="AS42" s="785"/>
      <c r="AT42" s="785"/>
      <c r="AU42" s="785"/>
      <c r="AV42" s="785"/>
      <c r="AW42" s="785"/>
      <c r="AX42" s="785"/>
      <c r="AY42" s="785"/>
      <c r="AZ42" s="785"/>
      <c r="BA42" s="785"/>
      <c r="BB42" s="785"/>
      <c r="BC42" s="790"/>
      <c r="BD42" s="790"/>
      <c r="BE42" s="149"/>
      <c r="BF42" s="785"/>
      <c r="BG42" s="785"/>
      <c r="BH42" s="790"/>
      <c r="BI42" s="483"/>
      <c r="BJ42" s="149"/>
      <c r="BK42" s="785"/>
      <c r="BL42" s="785"/>
      <c r="BM42" s="790"/>
      <c r="BN42" s="483"/>
      <c r="BO42" s="149"/>
      <c r="BP42" s="785"/>
      <c r="BQ42" s="785"/>
      <c r="BR42" s="790"/>
      <c r="BS42" s="483"/>
      <c r="BT42" s="149"/>
      <c r="BU42" s="785"/>
      <c r="BV42" s="785"/>
      <c r="BW42" s="790"/>
      <c r="BX42" s="483"/>
      <c r="BY42" s="149"/>
      <c r="BZ42" s="785"/>
      <c r="CA42" s="782"/>
      <c r="CB42" s="782"/>
      <c r="CC42" s="782"/>
      <c r="CD42" s="782"/>
      <c r="CE42" s="782"/>
      <c r="CF42" s="782"/>
      <c r="CG42" s="782"/>
      <c r="CH42" s="782"/>
      <c r="CI42" s="782"/>
      <c r="CJ42" s="782"/>
      <c r="CK42" s="782"/>
      <c r="CL42" s="782"/>
      <c r="CM42" s="782"/>
      <c r="CN42" s="782"/>
      <c r="CO42" s="782"/>
      <c r="CP42" s="782"/>
      <c r="CQ42" s="782"/>
      <c r="CR42" s="782"/>
      <c r="CS42" s="782"/>
      <c r="CT42" s="782"/>
      <c r="CU42" s="782"/>
      <c r="CV42" s="782"/>
      <c r="CW42" s="782"/>
      <c r="CX42" s="782"/>
      <c r="CY42" s="782"/>
      <c r="CZ42" s="782"/>
      <c r="DA42" s="782"/>
      <c r="DB42" s="782"/>
      <c r="DC42" s="782"/>
      <c r="DD42" s="782"/>
      <c r="DE42" s="782"/>
      <c r="DF42" s="782"/>
      <c r="DG42" s="782"/>
      <c r="DH42" s="782"/>
      <c r="DI42" s="782"/>
      <c r="DJ42" s="782"/>
      <c r="DK42" s="782"/>
      <c r="DL42" s="782"/>
      <c r="DM42" s="782"/>
      <c r="DN42" s="782"/>
      <c r="DO42" s="782"/>
      <c r="DP42" s="782"/>
      <c r="DQ42" s="782"/>
      <c r="DR42" s="782"/>
      <c r="DS42" s="782"/>
      <c r="DT42" s="782"/>
      <c r="DU42" s="782"/>
      <c r="DV42" s="782"/>
      <c r="DW42" s="782"/>
      <c r="DX42" s="782"/>
      <c r="DY42" s="782"/>
      <c r="DZ42" s="782"/>
      <c r="EA42" s="782"/>
      <c r="EB42" s="782"/>
      <c r="EC42" s="782"/>
      <c r="ED42" s="782"/>
      <c r="EE42" s="782"/>
      <c r="EF42" s="782"/>
      <c r="EG42" s="782"/>
      <c r="EH42" s="782"/>
      <c r="EI42" s="782"/>
      <c r="EJ42" s="782"/>
      <c r="EK42" s="782"/>
      <c r="EL42" s="782"/>
      <c r="EM42" s="782"/>
      <c r="EN42" s="782"/>
      <c r="EO42" s="782"/>
      <c r="EP42" s="782"/>
      <c r="EQ42" s="782"/>
      <c r="ER42" s="782"/>
      <c r="ES42" s="782"/>
      <c r="ET42" s="782"/>
      <c r="EU42" s="782"/>
      <c r="EV42" s="782"/>
      <c r="EW42" s="782"/>
      <c r="EX42" s="782"/>
      <c r="EY42" s="782"/>
      <c r="EZ42" s="782"/>
      <c r="FA42" s="782"/>
      <c r="FB42" s="782"/>
      <c r="FC42" s="782"/>
      <c r="FD42" s="782"/>
      <c r="FE42" s="782"/>
      <c r="FF42" s="782"/>
      <c r="FG42" s="782"/>
      <c r="FH42" s="782"/>
      <c r="FI42" s="782"/>
      <c r="FJ42" s="782"/>
      <c r="FK42" s="782"/>
      <c r="FL42" s="782"/>
      <c r="FM42" s="782"/>
      <c r="FN42" s="782"/>
      <c r="FO42" s="782"/>
      <c r="FP42" s="782"/>
      <c r="FQ42" s="782"/>
      <c r="FR42" s="782"/>
      <c r="FS42" s="782"/>
      <c r="FT42" s="782"/>
      <c r="FU42" s="782"/>
      <c r="FV42" s="782"/>
      <c r="FW42" s="782"/>
      <c r="FX42" s="782"/>
      <c r="FY42" s="782"/>
      <c r="FZ42" s="782"/>
      <c r="GA42" s="782"/>
      <c r="GB42" s="782"/>
      <c r="GC42" s="782"/>
      <c r="GD42" s="782"/>
      <c r="GE42" s="782"/>
      <c r="GF42" s="782"/>
      <c r="GG42" s="782"/>
      <c r="GH42" s="782"/>
      <c r="GI42" s="782"/>
      <c r="GJ42" s="782"/>
      <c r="GK42" s="782"/>
      <c r="GL42" s="782"/>
      <c r="GM42" s="782"/>
      <c r="GN42" s="782"/>
      <c r="GO42" s="782"/>
      <c r="GP42" s="782"/>
      <c r="GQ42" s="782"/>
      <c r="GR42" s="782"/>
      <c r="GS42" s="782"/>
      <c r="GT42" s="782"/>
      <c r="GU42" s="782"/>
      <c r="GV42" s="782"/>
      <c r="GW42" s="782"/>
      <c r="GX42" s="782"/>
      <c r="GY42" s="782"/>
      <c r="GZ42" s="782"/>
      <c r="HA42" s="782"/>
      <c r="HB42" s="782"/>
      <c r="HC42" s="782"/>
      <c r="HD42" s="782"/>
      <c r="HE42" s="782"/>
      <c r="HF42" s="782"/>
      <c r="HG42" s="782"/>
      <c r="HH42" s="782"/>
      <c r="HI42" s="782"/>
      <c r="HJ42" s="782"/>
      <c r="HK42" s="782"/>
      <c r="HL42" s="782"/>
      <c r="HM42" s="782"/>
      <c r="HN42" s="782"/>
      <c r="HO42" s="782"/>
      <c r="HP42" s="782"/>
      <c r="HQ42" s="782"/>
      <c r="HR42" s="782"/>
      <c r="HS42" s="782"/>
      <c r="HT42" s="782"/>
      <c r="HU42" s="782"/>
      <c r="HV42" s="782"/>
      <c r="HW42" s="782"/>
      <c r="HX42" s="782"/>
      <c r="HY42" s="782"/>
      <c r="HZ42" s="782"/>
      <c r="IA42" s="782"/>
      <c r="IB42" s="782"/>
      <c r="IC42" s="782"/>
      <c r="ID42" s="782"/>
      <c r="IE42" s="782"/>
      <c r="IF42" s="782"/>
      <c r="IG42" s="782"/>
      <c r="IH42" s="782"/>
      <c r="II42" s="782"/>
      <c r="IJ42" s="782"/>
      <c r="IK42" s="782"/>
      <c r="IL42" s="782"/>
      <c r="IM42" s="782"/>
      <c r="IN42" s="782"/>
      <c r="IO42" s="782"/>
      <c r="IP42" s="782"/>
      <c r="IQ42" s="782"/>
      <c r="IR42" s="782"/>
      <c r="IS42" s="782"/>
      <c r="IT42" s="782"/>
      <c r="IU42" s="782"/>
      <c r="IV42" s="782"/>
      <c r="IW42" s="782"/>
      <c r="IX42" s="782"/>
      <c r="IY42" s="782"/>
      <c r="IZ42" s="782"/>
      <c r="JA42" s="782"/>
      <c r="JB42" s="782"/>
      <c r="JC42" s="782"/>
      <c r="JD42" s="782"/>
      <c r="JE42" s="782"/>
      <c r="JF42" s="782"/>
      <c r="JG42" s="782"/>
      <c r="JH42" s="782"/>
      <c r="JI42" s="782"/>
      <c r="JJ42" s="782"/>
      <c r="JK42" s="782"/>
      <c r="JL42" s="782"/>
      <c r="JM42" s="782"/>
      <c r="JN42" s="782"/>
      <c r="JO42" s="782"/>
      <c r="JP42" s="782"/>
      <c r="JQ42" s="782"/>
      <c r="JR42" s="782"/>
      <c r="JS42" s="782"/>
      <c r="JT42" s="782"/>
      <c r="JU42" s="782"/>
      <c r="JV42" s="782"/>
      <c r="JW42" s="782"/>
      <c r="JX42" s="782"/>
      <c r="JY42" s="782"/>
      <c r="JZ42" s="782"/>
      <c r="KA42" s="782"/>
      <c r="KB42" s="782"/>
      <c r="KC42" s="782"/>
      <c r="KD42" s="782"/>
      <c r="KE42" s="782"/>
      <c r="KF42" s="782"/>
      <c r="KG42" s="782"/>
      <c r="KH42" s="782"/>
      <c r="KI42" s="782"/>
      <c r="KJ42" s="782"/>
      <c r="KK42" s="782"/>
      <c r="KL42" s="782"/>
      <c r="KM42" s="782"/>
      <c r="KN42" s="782"/>
      <c r="KO42" s="782"/>
      <c r="KP42" s="782"/>
      <c r="KQ42" s="782"/>
      <c r="KR42" s="782"/>
      <c r="KS42" s="782"/>
      <c r="KT42" s="782"/>
      <c r="KU42" s="782"/>
      <c r="KV42" s="782"/>
      <c r="KW42" s="782"/>
      <c r="KX42" s="782"/>
      <c r="KY42" s="782"/>
      <c r="KZ42" s="782"/>
      <c r="LA42" s="782"/>
      <c r="LB42" s="782"/>
      <c r="LC42" s="782"/>
      <c r="LD42" s="782"/>
      <c r="LE42" s="782"/>
      <c r="LF42" s="782"/>
      <c r="LG42" s="782"/>
      <c r="LH42" s="782"/>
      <c r="LI42" s="782"/>
      <c r="LJ42" s="782"/>
      <c r="LK42" s="782"/>
      <c r="LL42" s="782"/>
      <c r="LM42" s="782"/>
      <c r="LN42" s="782"/>
      <c r="LO42" s="782"/>
      <c r="LP42" s="782"/>
      <c r="LQ42" s="782"/>
      <c r="LR42" s="782"/>
      <c r="LS42" s="782"/>
      <c r="LT42" s="782"/>
      <c r="LU42" s="782"/>
      <c r="LV42" s="782"/>
      <c r="LW42" s="782"/>
      <c r="LX42" s="782"/>
      <c r="LY42" s="782"/>
      <c r="LZ42" s="782"/>
      <c r="MA42" s="782"/>
      <c r="MB42" s="782"/>
      <c r="MC42" s="782"/>
      <c r="MD42" s="782"/>
      <c r="ME42" s="782"/>
      <c r="MF42" s="782"/>
      <c r="MG42" s="782"/>
      <c r="MH42" s="782"/>
      <c r="MI42" s="782"/>
      <c r="MJ42" s="782"/>
      <c r="MK42" s="782"/>
      <c r="ML42" s="782"/>
      <c r="MM42" s="782"/>
      <c r="MN42" s="782"/>
      <c r="MO42" s="782"/>
      <c r="MP42" s="782"/>
      <c r="MQ42" s="782"/>
      <c r="MR42" s="782"/>
      <c r="MS42" s="782"/>
      <c r="MT42" s="782"/>
      <c r="MU42" s="782"/>
      <c r="MV42" s="782"/>
      <c r="MW42" s="782"/>
      <c r="MX42" s="782"/>
      <c r="MY42" s="782"/>
      <c r="MZ42" s="782"/>
      <c r="NA42" s="782"/>
      <c r="NB42" s="782"/>
      <c r="NC42" s="782"/>
      <c r="ND42" s="782"/>
      <c r="NE42" s="782"/>
      <c r="NF42" s="782"/>
      <c r="NG42" s="782"/>
      <c r="NH42" s="782"/>
      <c r="NI42" s="782"/>
      <c r="NJ42" s="782"/>
      <c r="NK42" s="782"/>
      <c r="NL42" s="782"/>
      <c r="NM42" s="782"/>
      <c r="NN42" s="782"/>
      <c r="NO42" s="782"/>
      <c r="NP42" s="782"/>
      <c r="NQ42" s="782"/>
      <c r="NR42" s="782"/>
      <c r="NS42" s="782"/>
      <c r="NT42" s="782"/>
      <c r="NU42" s="782"/>
      <c r="NV42" s="782"/>
      <c r="NW42" s="782"/>
      <c r="NX42" s="782"/>
      <c r="NY42" s="782"/>
      <c r="NZ42" s="782"/>
      <c r="OA42" s="782"/>
      <c r="OB42" s="782"/>
      <c r="OC42" s="782"/>
      <c r="OD42" s="782"/>
      <c r="OE42" s="782"/>
      <c r="OF42" s="782"/>
      <c r="OG42" s="782"/>
      <c r="OH42" s="782"/>
      <c r="OI42" s="782"/>
      <c r="OJ42" s="782"/>
      <c r="OK42" s="782"/>
      <c r="OL42" s="782"/>
      <c r="OM42" s="782"/>
      <c r="ON42" s="782"/>
      <c r="OO42" s="782"/>
      <c r="OP42" s="782"/>
      <c r="OQ42" s="782"/>
      <c r="OR42" s="782"/>
      <c r="OS42" s="782"/>
      <c r="OT42" s="782"/>
      <c r="OU42" s="782"/>
      <c r="OV42" s="782"/>
      <c r="OW42" s="782"/>
      <c r="OX42" s="782"/>
      <c r="OY42" s="782"/>
      <c r="OZ42" s="782"/>
      <c r="PA42" s="782"/>
      <c r="PB42" s="782"/>
      <c r="PC42" s="782"/>
      <c r="PD42" s="782"/>
      <c r="PE42" s="782"/>
      <c r="PF42" s="782"/>
      <c r="PG42" s="782"/>
      <c r="PH42" s="782"/>
      <c r="PI42" s="782"/>
      <c r="PJ42" s="782"/>
      <c r="PK42" s="782"/>
      <c r="PL42" s="782"/>
      <c r="PM42" s="782"/>
      <c r="PN42" s="782"/>
      <c r="PO42" s="782"/>
      <c r="PP42" s="782"/>
      <c r="PQ42" s="782"/>
      <c r="PR42" s="782"/>
      <c r="PS42" s="782"/>
      <c r="PT42" s="782"/>
      <c r="PU42" s="782"/>
      <c r="PV42" s="782"/>
      <c r="PW42" s="782"/>
      <c r="PX42" s="782"/>
      <c r="PY42" s="782"/>
      <c r="PZ42" s="782"/>
      <c r="QA42" s="782"/>
      <c r="QB42" s="782"/>
      <c r="QC42" s="782"/>
      <c r="QD42" s="782"/>
      <c r="QE42" s="782"/>
      <c r="QF42" s="782"/>
      <c r="QG42" s="782"/>
      <c r="QH42" s="782"/>
      <c r="QI42" s="782"/>
      <c r="QJ42" s="782"/>
      <c r="QK42" s="782"/>
      <c r="QL42" s="782"/>
      <c r="QM42" s="782"/>
      <c r="QN42" s="782"/>
      <c r="QO42" s="782"/>
      <c r="QP42" s="782"/>
      <c r="QQ42" s="782"/>
      <c r="QR42" s="782"/>
      <c r="QS42" s="782"/>
      <c r="QT42" s="782"/>
      <c r="QU42" s="782"/>
      <c r="QV42" s="782"/>
      <c r="QW42" s="782"/>
      <c r="QX42" s="782"/>
      <c r="QY42" s="782"/>
      <c r="QZ42" s="782"/>
      <c r="RA42" s="782"/>
      <c r="RB42" s="782"/>
      <c r="RC42" s="782"/>
      <c r="RD42" s="782"/>
      <c r="RE42" s="782"/>
      <c r="RF42" s="782"/>
      <c r="RG42" s="782"/>
      <c r="RH42" s="782"/>
      <c r="RI42" s="782"/>
      <c r="RJ42" s="782"/>
      <c r="RK42" s="782"/>
      <c r="RL42" s="782"/>
      <c r="RM42" s="782"/>
      <c r="RN42" s="782"/>
      <c r="RO42" s="782"/>
      <c r="RP42" s="782"/>
      <c r="RQ42" s="782"/>
      <c r="RR42" s="782"/>
      <c r="RS42" s="782"/>
      <c r="RT42" s="782"/>
      <c r="RU42" s="782"/>
      <c r="RV42" s="782"/>
      <c r="RW42" s="782"/>
      <c r="RX42" s="782"/>
    </row>
    <row r="43" spans="1:492" s="143" customFormat="1">
      <c r="A43" s="782"/>
      <c r="B43" s="782"/>
      <c r="C43" s="782"/>
      <c r="D43" s="782"/>
      <c r="E43" s="782"/>
      <c r="F43" s="782"/>
      <c r="G43" s="782"/>
      <c r="H43" s="782"/>
      <c r="I43" s="782"/>
      <c r="J43" s="782"/>
      <c r="K43" s="782"/>
      <c r="L43" s="782"/>
      <c r="M43" s="782"/>
      <c r="N43" s="782"/>
      <c r="O43" s="782"/>
      <c r="P43" s="782"/>
      <c r="Q43" s="782"/>
      <c r="R43" s="782"/>
      <c r="S43" s="782"/>
      <c r="T43" s="782"/>
      <c r="U43" s="782"/>
      <c r="V43" s="782"/>
      <c r="W43" s="782"/>
      <c r="X43" s="782"/>
      <c r="Y43" s="782"/>
      <c r="Z43" s="782"/>
      <c r="AA43" s="782"/>
      <c r="AB43" s="782"/>
      <c r="AC43" s="782"/>
      <c r="AD43" s="782"/>
      <c r="AE43" s="782"/>
      <c r="AF43" s="782"/>
      <c r="AG43" s="782"/>
      <c r="AH43" s="782"/>
      <c r="AI43" s="782"/>
      <c r="AJ43" s="782"/>
      <c r="AK43" s="782"/>
      <c r="AL43" s="782"/>
      <c r="AM43" s="790"/>
      <c r="AN43" s="790"/>
      <c r="AO43" s="790"/>
      <c r="AP43" s="150"/>
      <c r="AQ43" s="785"/>
      <c r="AR43" s="785"/>
      <c r="AS43" s="785"/>
      <c r="AT43" s="785"/>
      <c r="AU43" s="785"/>
      <c r="AV43" s="785"/>
      <c r="AW43" s="790"/>
      <c r="AX43" s="790"/>
      <c r="AY43" s="790"/>
      <c r="AZ43" s="790"/>
      <c r="BA43" s="785"/>
      <c r="BB43" s="785"/>
      <c r="BC43" s="785"/>
      <c r="BD43" s="785"/>
      <c r="BE43" s="785"/>
      <c r="BF43" s="785"/>
      <c r="BG43" s="785"/>
      <c r="BH43" s="785"/>
      <c r="BI43" s="785"/>
      <c r="BJ43" s="785"/>
      <c r="BK43" s="785"/>
      <c r="BL43" s="785"/>
      <c r="BM43" s="785"/>
      <c r="BN43" s="785"/>
      <c r="BO43" s="785"/>
      <c r="BP43" s="785"/>
      <c r="BQ43" s="785"/>
      <c r="BR43" s="785"/>
      <c r="BS43" s="785"/>
      <c r="BT43" s="785"/>
      <c r="BU43" s="785"/>
      <c r="BV43" s="785"/>
      <c r="BW43" s="785"/>
      <c r="BX43" s="785"/>
      <c r="BY43" s="785"/>
      <c r="BZ43" s="785"/>
      <c r="CA43" s="782"/>
      <c r="CB43" s="782"/>
      <c r="CC43" s="782"/>
      <c r="CD43" s="782"/>
      <c r="CE43" s="782"/>
      <c r="CF43" s="782"/>
      <c r="CG43" s="782"/>
      <c r="CH43" s="782"/>
      <c r="CI43" s="782"/>
      <c r="CJ43" s="782"/>
      <c r="CK43" s="782"/>
      <c r="CL43" s="782"/>
      <c r="CM43" s="782"/>
      <c r="CN43" s="782"/>
      <c r="CO43" s="782"/>
      <c r="CP43" s="782"/>
      <c r="CQ43" s="782"/>
      <c r="CR43" s="782"/>
      <c r="CS43" s="782"/>
      <c r="CT43" s="782"/>
      <c r="CU43" s="782"/>
      <c r="CV43" s="782"/>
      <c r="CW43" s="782"/>
      <c r="CX43" s="782"/>
      <c r="CY43" s="782"/>
      <c r="CZ43" s="782"/>
      <c r="DA43" s="782"/>
      <c r="DB43" s="782"/>
      <c r="DC43" s="782"/>
      <c r="DD43" s="782"/>
      <c r="DE43" s="782"/>
      <c r="DF43" s="782"/>
      <c r="DG43" s="782"/>
      <c r="DH43" s="782"/>
      <c r="DI43" s="782"/>
      <c r="DJ43" s="782"/>
      <c r="DK43" s="782"/>
      <c r="DL43" s="782"/>
      <c r="DM43" s="782"/>
      <c r="DN43" s="782"/>
      <c r="DO43" s="782"/>
      <c r="DP43" s="782"/>
      <c r="DQ43" s="782"/>
      <c r="DR43" s="782"/>
      <c r="DS43" s="782"/>
      <c r="DT43" s="782"/>
      <c r="DU43" s="782"/>
      <c r="DV43" s="782"/>
      <c r="DW43" s="782"/>
      <c r="DX43" s="782"/>
      <c r="DY43" s="782"/>
      <c r="DZ43" s="782"/>
      <c r="EA43" s="782"/>
      <c r="EB43" s="782"/>
      <c r="EC43" s="782"/>
      <c r="ED43" s="782"/>
      <c r="EE43" s="782"/>
      <c r="EF43" s="782"/>
      <c r="EG43" s="782"/>
      <c r="EH43" s="782"/>
      <c r="EI43" s="782"/>
      <c r="EJ43" s="782"/>
      <c r="EK43" s="782"/>
      <c r="EL43" s="782"/>
      <c r="EM43" s="782"/>
      <c r="EN43" s="782"/>
      <c r="EO43" s="782"/>
      <c r="EP43" s="782"/>
      <c r="EQ43" s="782"/>
      <c r="ER43" s="782"/>
      <c r="ES43" s="782"/>
      <c r="ET43" s="782"/>
      <c r="EU43" s="782"/>
      <c r="EV43" s="782"/>
      <c r="EW43" s="782"/>
      <c r="EX43" s="782"/>
      <c r="EY43" s="782"/>
      <c r="EZ43" s="782"/>
      <c r="FA43" s="782"/>
      <c r="FB43" s="782"/>
      <c r="FC43" s="782"/>
      <c r="FD43" s="782"/>
      <c r="FE43" s="782"/>
      <c r="FF43" s="782"/>
      <c r="FG43" s="782"/>
      <c r="FH43" s="782"/>
      <c r="FI43" s="782"/>
      <c r="FJ43" s="782"/>
      <c r="FK43" s="782"/>
      <c r="FL43" s="782"/>
      <c r="FM43" s="782"/>
      <c r="FN43" s="782"/>
      <c r="FO43" s="782"/>
      <c r="FP43" s="782"/>
      <c r="FQ43" s="782"/>
      <c r="FR43" s="782"/>
      <c r="FS43" s="782"/>
      <c r="FT43" s="782"/>
      <c r="FU43" s="782"/>
      <c r="FV43" s="782"/>
      <c r="FW43" s="782"/>
      <c r="FX43" s="782"/>
      <c r="FY43" s="782"/>
      <c r="FZ43" s="782"/>
      <c r="GA43" s="782"/>
      <c r="GB43" s="782"/>
      <c r="GC43" s="782"/>
      <c r="GD43" s="782"/>
      <c r="GE43" s="782"/>
      <c r="GF43" s="782"/>
      <c r="GG43" s="782"/>
      <c r="GH43" s="782"/>
      <c r="GI43" s="782"/>
      <c r="GJ43" s="782"/>
      <c r="GK43" s="782"/>
      <c r="GL43" s="782"/>
      <c r="GM43" s="782"/>
      <c r="GN43" s="782"/>
      <c r="GO43" s="782"/>
      <c r="GP43" s="782"/>
      <c r="GQ43" s="782"/>
      <c r="GR43" s="782"/>
      <c r="GS43" s="782"/>
      <c r="GT43" s="782"/>
      <c r="GU43" s="782"/>
      <c r="GV43" s="782"/>
      <c r="GW43" s="782"/>
      <c r="GX43" s="782"/>
      <c r="GY43" s="782"/>
      <c r="GZ43" s="782"/>
      <c r="HA43" s="782"/>
      <c r="HB43" s="782"/>
      <c r="HC43" s="782"/>
      <c r="HD43" s="782"/>
      <c r="HE43" s="782"/>
      <c r="HF43" s="782"/>
      <c r="HG43" s="782"/>
      <c r="HH43" s="782"/>
      <c r="HI43" s="782"/>
      <c r="HJ43" s="782"/>
      <c r="HK43" s="782"/>
      <c r="HL43" s="782"/>
      <c r="HM43" s="782"/>
      <c r="HN43" s="782"/>
      <c r="HO43" s="782"/>
      <c r="HP43" s="782"/>
      <c r="HQ43" s="782"/>
      <c r="HR43" s="782"/>
      <c r="HS43" s="782"/>
      <c r="HT43" s="782"/>
      <c r="HU43" s="782"/>
      <c r="HV43" s="782"/>
      <c r="HW43" s="782"/>
      <c r="HX43" s="782"/>
      <c r="HY43" s="782"/>
      <c r="HZ43" s="782"/>
      <c r="IA43" s="782"/>
      <c r="IB43" s="782"/>
      <c r="IC43" s="782"/>
      <c r="ID43" s="782"/>
      <c r="IE43" s="782"/>
      <c r="IF43" s="782"/>
      <c r="IG43" s="782"/>
      <c r="IH43" s="782"/>
      <c r="II43" s="782"/>
      <c r="IJ43" s="782"/>
      <c r="IK43" s="782"/>
      <c r="IL43" s="782"/>
      <c r="IM43" s="782"/>
      <c r="IN43" s="782"/>
      <c r="IO43" s="782"/>
      <c r="IP43" s="782"/>
      <c r="IQ43" s="782"/>
      <c r="IR43" s="782"/>
      <c r="IS43" s="782"/>
      <c r="IT43" s="782"/>
      <c r="IU43" s="782"/>
      <c r="IV43" s="782"/>
      <c r="IW43" s="782"/>
      <c r="IX43" s="782"/>
      <c r="IY43" s="782"/>
      <c r="IZ43" s="782"/>
      <c r="JA43" s="782"/>
      <c r="JB43" s="782"/>
      <c r="JC43" s="782"/>
      <c r="JD43" s="782"/>
      <c r="JE43" s="782"/>
      <c r="JF43" s="782"/>
      <c r="JG43" s="782"/>
      <c r="JH43" s="782"/>
      <c r="JI43" s="782"/>
      <c r="JJ43" s="782"/>
      <c r="JK43" s="782"/>
      <c r="JL43" s="782"/>
      <c r="JM43" s="782"/>
      <c r="JN43" s="782"/>
      <c r="JO43" s="782"/>
      <c r="JP43" s="782"/>
      <c r="JQ43" s="782"/>
      <c r="JR43" s="782"/>
      <c r="JS43" s="782"/>
      <c r="JT43" s="782"/>
      <c r="JU43" s="782"/>
      <c r="JV43" s="782"/>
      <c r="JW43" s="782"/>
      <c r="JX43" s="782"/>
      <c r="JY43" s="782"/>
      <c r="JZ43" s="782"/>
      <c r="KA43" s="782"/>
      <c r="KB43" s="782"/>
      <c r="KC43" s="782"/>
      <c r="KD43" s="782"/>
      <c r="KE43" s="782"/>
      <c r="KF43" s="782"/>
      <c r="KG43" s="782"/>
      <c r="KH43" s="782"/>
      <c r="KI43" s="782"/>
      <c r="KJ43" s="782"/>
      <c r="KK43" s="782"/>
      <c r="KL43" s="782"/>
      <c r="KM43" s="782"/>
      <c r="KN43" s="782"/>
      <c r="KO43" s="782"/>
      <c r="KP43" s="782"/>
      <c r="KQ43" s="782"/>
      <c r="KR43" s="782"/>
      <c r="KS43" s="782"/>
      <c r="KT43" s="782"/>
      <c r="KU43" s="782"/>
      <c r="KV43" s="782"/>
      <c r="KW43" s="782"/>
      <c r="KX43" s="782"/>
      <c r="KY43" s="782"/>
      <c r="KZ43" s="782"/>
      <c r="LA43" s="782"/>
      <c r="LB43" s="782"/>
      <c r="LC43" s="782"/>
      <c r="LD43" s="782"/>
      <c r="LE43" s="782"/>
      <c r="LF43" s="782"/>
      <c r="LG43" s="782"/>
      <c r="LH43" s="782"/>
      <c r="LI43" s="782"/>
      <c r="LJ43" s="782"/>
      <c r="LK43" s="782"/>
      <c r="LL43" s="782"/>
      <c r="LM43" s="782"/>
      <c r="LN43" s="782"/>
      <c r="LO43" s="782"/>
      <c r="LP43" s="782"/>
      <c r="LQ43" s="782"/>
      <c r="LR43" s="782"/>
      <c r="LS43" s="782"/>
      <c r="LT43" s="782"/>
      <c r="LU43" s="782"/>
      <c r="LV43" s="782"/>
      <c r="LW43" s="782"/>
      <c r="LX43" s="782"/>
      <c r="LY43" s="782"/>
      <c r="LZ43" s="782"/>
      <c r="MA43" s="782"/>
      <c r="MB43" s="782"/>
      <c r="MC43" s="782"/>
      <c r="MD43" s="782"/>
      <c r="ME43" s="782"/>
      <c r="MF43" s="782"/>
      <c r="MG43" s="782"/>
      <c r="MH43" s="782"/>
      <c r="MI43" s="782"/>
      <c r="MJ43" s="782"/>
      <c r="MK43" s="782"/>
      <c r="ML43" s="782"/>
      <c r="MM43" s="782"/>
      <c r="MN43" s="782"/>
      <c r="MO43" s="782"/>
      <c r="MP43" s="782"/>
      <c r="MQ43" s="782"/>
      <c r="MR43" s="782"/>
      <c r="MS43" s="782"/>
      <c r="MT43" s="782"/>
      <c r="MU43" s="782"/>
      <c r="MV43" s="782"/>
      <c r="MW43" s="782"/>
      <c r="MX43" s="782"/>
      <c r="MY43" s="782"/>
      <c r="MZ43" s="782"/>
      <c r="NA43" s="782"/>
      <c r="NB43" s="782"/>
      <c r="NC43" s="782"/>
      <c r="ND43" s="782"/>
      <c r="NE43" s="782"/>
      <c r="NF43" s="782"/>
      <c r="NG43" s="782"/>
      <c r="NH43" s="782"/>
      <c r="NI43" s="782"/>
      <c r="NJ43" s="782"/>
      <c r="NK43" s="782"/>
      <c r="NL43" s="782"/>
      <c r="NM43" s="782"/>
      <c r="NN43" s="782"/>
      <c r="NO43" s="782"/>
      <c r="NP43" s="782"/>
      <c r="NQ43" s="782"/>
      <c r="NR43" s="782"/>
      <c r="NS43" s="782"/>
      <c r="NT43" s="782"/>
      <c r="NU43" s="782"/>
      <c r="NV43" s="782"/>
      <c r="NW43" s="782"/>
      <c r="NX43" s="782"/>
      <c r="NY43" s="782"/>
      <c r="NZ43" s="782"/>
      <c r="OA43" s="782"/>
      <c r="OB43" s="782"/>
      <c r="OC43" s="782"/>
      <c r="OD43" s="782"/>
      <c r="OE43" s="782"/>
      <c r="OF43" s="782"/>
      <c r="OG43" s="782"/>
      <c r="OH43" s="782"/>
      <c r="OI43" s="782"/>
      <c r="OJ43" s="782"/>
      <c r="OK43" s="782"/>
      <c r="OL43" s="782"/>
      <c r="OM43" s="782"/>
      <c r="ON43" s="782"/>
      <c r="OO43" s="782"/>
      <c r="OP43" s="782"/>
      <c r="OQ43" s="782"/>
      <c r="OR43" s="782"/>
      <c r="OS43" s="782"/>
      <c r="OT43" s="782"/>
      <c r="OU43" s="782"/>
      <c r="OV43" s="782"/>
      <c r="OW43" s="782"/>
      <c r="OX43" s="782"/>
      <c r="OY43" s="782"/>
      <c r="OZ43" s="782"/>
      <c r="PA43" s="782"/>
      <c r="PB43" s="782"/>
      <c r="PC43" s="782"/>
      <c r="PD43" s="782"/>
      <c r="PE43" s="782"/>
      <c r="PF43" s="782"/>
      <c r="PG43" s="782"/>
      <c r="PH43" s="782"/>
      <c r="PI43" s="782"/>
      <c r="PJ43" s="782"/>
      <c r="PK43" s="782"/>
      <c r="PL43" s="782"/>
      <c r="PM43" s="782"/>
      <c r="PN43" s="782"/>
      <c r="PO43" s="782"/>
      <c r="PP43" s="782"/>
      <c r="PQ43" s="782"/>
      <c r="PR43" s="782"/>
      <c r="PS43" s="782"/>
      <c r="PT43" s="782"/>
      <c r="PU43" s="782"/>
      <c r="PV43" s="782"/>
      <c r="PW43" s="782"/>
      <c r="PX43" s="782"/>
      <c r="PY43" s="782"/>
      <c r="PZ43" s="782"/>
      <c r="QA43" s="782"/>
      <c r="QB43" s="782"/>
      <c r="QC43" s="782"/>
      <c r="QD43" s="782"/>
      <c r="QE43" s="782"/>
      <c r="QF43" s="782"/>
      <c r="QG43" s="782"/>
      <c r="QH43" s="782"/>
      <c r="QI43" s="782"/>
      <c r="QJ43" s="782"/>
      <c r="QK43" s="782"/>
      <c r="QL43" s="782"/>
      <c r="QM43" s="782"/>
      <c r="QN43" s="782"/>
      <c r="QO43" s="782"/>
      <c r="QP43" s="782"/>
      <c r="QQ43" s="782"/>
      <c r="QR43" s="782"/>
      <c r="QS43" s="782"/>
      <c r="QT43" s="782"/>
      <c r="QU43" s="782"/>
      <c r="QV43" s="782"/>
      <c r="QW43" s="782"/>
      <c r="QX43" s="782"/>
      <c r="QY43" s="782"/>
      <c r="QZ43" s="782"/>
      <c r="RA43" s="782"/>
      <c r="RB43" s="782"/>
      <c r="RC43" s="782"/>
      <c r="RD43" s="782"/>
      <c r="RE43" s="782"/>
      <c r="RF43" s="782"/>
      <c r="RG43" s="782"/>
      <c r="RH43" s="782"/>
      <c r="RI43" s="782"/>
      <c r="RJ43" s="782"/>
      <c r="RK43" s="782"/>
      <c r="RL43" s="782"/>
      <c r="RM43" s="782"/>
      <c r="RN43" s="782"/>
      <c r="RO43" s="782"/>
      <c r="RP43" s="782"/>
      <c r="RQ43" s="782"/>
      <c r="RR43" s="782"/>
      <c r="RS43" s="782"/>
      <c r="RT43" s="782"/>
      <c r="RU43" s="782"/>
      <c r="RV43" s="782"/>
      <c r="RW43" s="782"/>
      <c r="RX43" s="782"/>
    </row>
    <row r="44" spans="1:492" s="143" customFormat="1">
      <c r="A44" s="782"/>
      <c r="B44" s="782"/>
      <c r="C44" s="782"/>
      <c r="D44" s="782"/>
      <c r="E44" s="782"/>
      <c r="F44" s="782"/>
      <c r="G44" s="782"/>
      <c r="H44" s="782"/>
      <c r="I44" s="782"/>
      <c r="J44" s="782"/>
      <c r="K44" s="782"/>
      <c r="L44" s="782"/>
      <c r="M44" s="782"/>
      <c r="N44" s="782"/>
      <c r="O44" s="782"/>
      <c r="P44" s="782"/>
      <c r="Q44" s="782"/>
      <c r="R44" s="782"/>
      <c r="S44" s="782"/>
      <c r="T44" s="782"/>
      <c r="U44" s="782"/>
      <c r="V44" s="782"/>
      <c r="W44" s="782"/>
      <c r="X44" s="782"/>
      <c r="Y44" s="782"/>
      <c r="Z44" s="782"/>
      <c r="AA44" s="782"/>
      <c r="AB44" s="782"/>
      <c r="AC44" s="782"/>
      <c r="AD44" s="782"/>
      <c r="AE44" s="782"/>
      <c r="AF44" s="782"/>
      <c r="AG44" s="782"/>
      <c r="AH44" s="782"/>
      <c r="AI44" s="782"/>
      <c r="AJ44" s="782"/>
      <c r="AK44" s="782"/>
      <c r="AL44" s="782"/>
      <c r="AM44" s="790"/>
      <c r="AN44" s="790"/>
      <c r="AO44" s="790"/>
      <c r="AP44" s="150"/>
      <c r="AQ44" s="785"/>
      <c r="AR44" s="785"/>
      <c r="AS44" s="785"/>
      <c r="AT44" s="785"/>
      <c r="AU44" s="785"/>
      <c r="AV44" s="785"/>
      <c r="AW44" s="790"/>
      <c r="AX44" s="790"/>
      <c r="AY44" s="790"/>
      <c r="AZ44" s="151"/>
      <c r="BA44" s="785"/>
      <c r="BB44" s="785"/>
      <c r="BC44" s="785"/>
      <c r="BD44" s="785"/>
      <c r="BE44" s="785"/>
      <c r="BF44" s="785"/>
      <c r="BG44" s="785"/>
      <c r="BH44" s="785"/>
      <c r="BI44" s="785"/>
      <c r="BJ44" s="785"/>
      <c r="BK44" s="785"/>
      <c r="BL44" s="785"/>
      <c r="BM44" s="785"/>
      <c r="BN44" s="785"/>
      <c r="BO44" s="785"/>
      <c r="BP44" s="785"/>
      <c r="BQ44" s="785"/>
      <c r="BR44" s="785"/>
      <c r="BS44" s="785"/>
      <c r="BT44" s="785"/>
      <c r="BU44" s="785"/>
      <c r="BV44" s="785"/>
      <c r="BW44" s="785"/>
      <c r="BX44" s="785"/>
      <c r="BY44" s="785"/>
      <c r="BZ44" s="785"/>
      <c r="CA44" s="782"/>
      <c r="CB44" s="782"/>
      <c r="CC44" s="782"/>
      <c r="CD44" s="782"/>
      <c r="CE44" s="782"/>
      <c r="CF44" s="782"/>
      <c r="CG44" s="782"/>
      <c r="CH44" s="782"/>
      <c r="CI44" s="782"/>
      <c r="CJ44" s="782"/>
      <c r="CK44" s="782"/>
      <c r="CL44" s="782"/>
      <c r="CM44" s="782"/>
      <c r="CN44" s="782"/>
      <c r="CO44" s="782"/>
      <c r="CP44" s="782"/>
      <c r="CQ44" s="782"/>
      <c r="CR44" s="782"/>
      <c r="CS44" s="782"/>
      <c r="CT44" s="782"/>
      <c r="CU44" s="782"/>
      <c r="CV44" s="782"/>
      <c r="CW44" s="782"/>
      <c r="CX44" s="782"/>
      <c r="CY44" s="782"/>
      <c r="CZ44" s="782"/>
      <c r="DA44" s="782"/>
      <c r="DB44" s="782"/>
      <c r="DC44" s="782"/>
      <c r="DD44" s="782"/>
      <c r="DE44" s="782"/>
      <c r="DF44" s="782"/>
      <c r="DG44" s="782"/>
      <c r="DH44" s="782"/>
      <c r="DI44" s="782"/>
      <c r="DJ44" s="782"/>
      <c r="DK44" s="782"/>
      <c r="DL44" s="782"/>
      <c r="DM44" s="782"/>
      <c r="DN44" s="782"/>
      <c r="DO44" s="782"/>
      <c r="DP44" s="782"/>
      <c r="DQ44" s="782"/>
      <c r="DR44" s="782"/>
      <c r="DS44" s="782"/>
      <c r="DT44" s="782"/>
      <c r="DU44" s="782"/>
      <c r="DV44" s="782"/>
      <c r="DW44" s="782"/>
      <c r="DX44" s="782"/>
      <c r="DY44" s="782"/>
      <c r="DZ44" s="782"/>
      <c r="EA44" s="782"/>
      <c r="EB44" s="782"/>
      <c r="EC44" s="782"/>
      <c r="ED44" s="782"/>
      <c r="EE44" s="782"/>
      <c r="EF44" s="782"/>
      <c r="EG44" s="782"/>
      <c r="EH44" s="782"/>
      <c r="EI44" s="782"/>
      <c r="EJ44" s="782"/>
      <c r="EK44" s="782"/>
      <c r="EL44" s="782"/>
      <c r="EM44" s="782"/>
      <c r="EN44" s="782"/>
      <c r="EO44" s="782"/>
      <c r="EP44" s="782"/>
      <c r="EQ44" s="782"/>
      <c r="ER44" s="782"/>
      <c r="ES44" s="782"/>
      <c r="ET44" s="782"/>
      <c r="EU44" s="782"/>
      <c r="EV44" s="782"/>
      <c r="EW44" s="782"/>
      <c r="EX44" s="782"/>
      <c r="EY44" s="782"/>
      <c r="EZ44" s="782"/>
      <c r="FA44" s="782"/>
      <c r="FB44" s="782"/>
      <c r="FC44" s="782"/>
      <c r="FD44" s="782"/>
      <c r="FE44" s="782"/>
      <c r="FF44" s="782"/>
      <c r="FG44" s="782"/>
      <c r="FH44" s="782"/>
      <c r="FI44" s="782"/>
      <c r="FJ44" s="782"/>
      <c r="FK44" s="782"/>
      <c r="FL44" s="782"/>
      <c r="FM44" s="782"/>
      <c r="FN44" s="782"/>
      <c r="FO44" s="782"/>
      <c r="FP44" s="782"/>
      <c r="FQ44" s="782"/>
      <c r="FR44" s="782"/>
      <c r="FS44" s="782"/>
      <c r="FT44" s="782"/>
      <c r="FU44" s="782"/>
      <c r="FV44" s="782"/>
      <c r="FW44" s="782"/>
      <c r="FX44" s="782"/>
      <c r="FY44" s="782"/>
      <c r="FZ44" s="782"/>
      <c r="GA44" s="782"/>
      <c r="GB44" s="782"/>
      <c r="GC44" s="782"/>
      <c r="GD44" s="782"/>
      <c r="GE44" s="782"/>
      <c r="GF44" s="782"/>
      <c r="GG44" s="782"/>
      <c r="GH44" s="782"/>
      <c r="GI44" s="782"/>
      <c r="GJ44" s="782"/>
      <c r="GK44" s="782"/>
      <c r="GL44" s="782"/>
      <c r="GM44" s="782"/>
      <c r="GN44" s="782"/>
      <c r="GO44" s="782"/>
      <c r="GP44" s="782"/>
      <c r="GQ44" s="782"/>
      <c r="GR44" s="782"/>
      <c r="GS44" s="782"/>
      <c r="GT44" s="782"/>
      <c r="GU44" s="782"/>
      <c r="GV44" s="782"/>
      <c r="GW44" s="782"/>
      <c r="GX44" s="782"/>
      <c r="GY44" s="782"/>
      <c r="GZ44" s="782"/>
      <c r="HA44" s="782"/>
      <c r="HB44" s="782"/>
      <c r="HC44" s="782"/>
      <c r="HD44" s="782"/>
      <c r="HE44" s="782"/>
      <c r="HF44" s="782"/>
      <c r="HG44" s="782"/>
      <c r="HH44" s="782"/>
      <c r="HI44" s="782"/>
      <c r="HJ44" s="782"/>
      <c r="HK44" s="782"/>
      <c r="HL44" s="782"/>
      <c r="HM44" s="782"/>
      <c r="HN44" s="782"/>
      <c r="HO44" s="782"/>
      <c r="HP44" s="782"/>
      <c r="HQ44" s="782"/>
      <c r="HR44" s="782"/>
      <c r="HS44" s="782"/>
      <c r="HT44" s="782"/>
      <c r="HU44" s="782"/>
      <c r="HV44" s="782"/>
      <c r="HW44" s="782"/>
      <c r="HX44" s="782"/>
      <c r="HY44" s="782"/>
      <c r="HZ44" s="782"/>
      <c r="IA44" s="782"/>
      <c r="IB44" s="782"/>
      <c r="IC44" s="782"/>
      <c r="ID44" s="782"/>
      <c r="IE44" s="782"/>
      <c r="IF44" s="782"/>
      <c r="IG44" s="782"/>
      <c r="IH44" s="782"/>
      <c r="II44" s="782"/>
      <c r="IJ44" s="782"/>
      <c r="IK44" s="782"/>
      <c r="IL44" s="782"/>
      <c r="IM44" s="782"/>
      <c r="IN44" s="782"/>
      <c r="IO44" s="782"/>
      <c r="IP44" s="782"/>
      <c r="IQ44" s="782"/>
      <c r="IR44" s="782"/>
      <c r="IS44" s="782"/>
      <c r="IT44" s="782"/>
      <c r="IU44" s="782"/>
      <c r="IV44" s="782"/>
      <c r="IW44" s="782"/>
      <c r="IX44" s="782"/>
      <c r="IY44" s="782"/>
      <c r="IZ44" s="782"/>
      <c r="JA44" s="782"/>
      <c r="JB44" s="782"/>
      <c r="JC44" s="782"/>
      <c r="JD44" s="782"/>
      <c r="JE44" s="782"/>
      <c r="JF44" s="782"/>
      <c r="JG44" s="782"/>
      <c r="JH44" s="782"/>
      <c r="JI44" s="782"/>
      <c r="JJ44" s="782"/>
      <c r="JK44" s="782"/>
      <c r="JL44" s="782"/>
      <c r="JM44" s="782"/>
      <c r="JN44" s="782"/>
      <c r="JO44" s="782"/>
      <c r="JP44" s="782"/>
      <c r="JQ44" s="782"/>
      <c r="JR44" s="782"/>
      <c r="JS44" s="782"/>
      <c r="JT44" s="782"/>
      <c r="JU44" s="782"/>
      <c r="JV44" s="782"/>
      <c r="JW44" s="782"/>
      <c r="JX44" s="782"/>
      <c r="JY44" s="782"/>
      <c r="JZ44" s="782"/>
      <c r="KA44" s="782"/>
      <c r="KB44" s="782"/>
      <c r="KC44" s="782"/>
      <c r="KD44" s="782"/>
      <c r="KE44" s="782"/>
      <c r="KF44" s="782"/>
      <c r="KG44" s="782"/>
      <c r="KH44" s="782"/>
      <c r="KI44" s="782"/>
      <c r="KJ44" s="782"/>
      <c r="KK44" s="782"/>
      <c r="KL44" s="782"/>
      <c r="KM44" s="782"/>
      <c r="KN44" s="782"/>
      <c r="KO44" s="782"/>
      <c r="KP44" s="782"/>
      <c r="KQ44" s="782"/>
      <c r="KR44" s="782"/>
      <c r="KS44" s="782"/>
      <c r="KT44" s="782"/>
      <c r="KU44" s="782"/>
      <c r="KV44" s="782"/>
      <c r="KW44" s="782"/>
      <c r="KX44" s="782"/>
      <c r="KY44" s="782"/>
      <c r="KZ44" s="782"/>
      <c r="LA44" s="782"/>
      <c r="LB44" s="782"/>
      <c r="LC44" s="782"/>
      <c r="LD44" s="782"/>
      <c r="LE44" s="782"/>
      <c r="LF44" s="782"/>
      <c r="LG44" s="782"/>
      <c r="LH44" s="782"/>
      <c r="LI44" s="782"/>
      <c r="LJ44" s="782"/>
      <c r="LK44" s="782"/>
      <c r="LL44" s="782"/>
      <c r="LM44" s="782"/>
      <c r="LN44" s="782"/>
      <c r="LO44" s="782"/>
      <c r="LP44" s="782"/>
      <c r="LQ44" s="782"/>
      <c r="LR44" s="782"/>
      <c r="LS44" s="782"/>
      <c r="LT44" s="782"/>
      <c r="LU44" s="782"/>
      <c r="LV44" s="782"/>
      <c r="LW44" s="782"/>
      <c r="LX44" s="782"/>
      <c r="LY44" s="782"/>
      <c r="LZ44" s="782"/>
      <c r="MA44" s="782"/>
      <c r="MB44" s="782"/>
      <c r="MC44" s="782"/>
      <c r="MD44" s="782"/>
      <c r="ME44" s="782"/>
      <c r="MF44" s="782"/>
      <c r="MG44" s="782"/>
      <c r="MH44" s="782"/>
      <c r="MI44" s="782"/>
      <c r="MJ44" s="782"/>
      <c r="MK44" s="782"/>
      <c r="ML44" s="782"/>
      <c r="MM44" s="782"/>
      <c r="MN44" s="782"/>
      <c r="MO44" s="782"/>
      <c r="MP44" s="782"/>
      <c r="MQ44" s="782"/>
      <c r="MR44" s="782"/>
      <c r="MS44" s="782"/>
      <c r="MT44" s="782"/>
      <c r="MU44" s="782"/>
      <c r="MV44" s="782"/>
      <c r="MW44" s="782"/>
      <c r="MX44" s="782"/>
      <c r="MY44" s="782"/>
      <c r="MZ44" s="782"/>
      <c r="NA44" s="782"/>
      <c r="NB44" s="782"/>
      <c r="NC44" s="782"/>
      <c r="ND44" s="782"/>
      <c r="NE44" s="782"/>
      <c r="NF44" s="782"/>
      <c r="NG44" s="782"/>
      <c r="NH44" s="782"/>
      <c r="NI44" s="782"/>
      <c r="NJ44" s="782"/>
      <c r="NK44" s="782"/>
      <c r="NL44" s="782"/>
      <c r="NM44" s="782"/>
      <c r="NN44" s="782"/>
      <c r="NO44" s="782"/>
      <c r="NP44" s="782"/>
      <c r="NQ44" s="782"/>
      <c r="NR44" s="782"/>
      <c r="NS44" s="782"/>
      <c r="NT44" s="782"/>
      <c r="NU44" s="782"/>
      <c r="NV44" s="782"/>
      <c r="NW44" s="782"/>
      <c r="NX44" s="782"/>
      <c r="NY44" s="782"/>
      <c r="NZ44" s="782"/>
      <c r="OA44" s="782"/>
      <c r="OB44" s="782"/>
      <c r="OC44" s="782"/>
      <c r="OD44" s="782"/>
      <c r="OE44" s="782"/>
      <c r="OF44" s="782"/>
      <c r="OG44" s="782"/>
      <c r="OH44" s="782"/>
      <c r="OI44" s="782"/>
      <c r="OJ44" s="782"/>
      <c r="OK44" s="782"/>
      <c r="OL44" s="782"/>
      <c r="OM44" s="782"/>
      <c r="ON44" s="782"/>
      <c r="OO44" s="782"/>
      <c r="OP44" s="782"/>
      <c r="OQ44" s="782"/>
      <c r="OR44" s="782"/>
      <c r="OS44" s="782"/>
      <c r="OT44" s="782"/>
      <c r="OU44" s="782"/>
      <c r="OV44" s="782"/>
      <c r="OW44" s="782"/>
      <c r="OX44" s="782"/>
      <c r="OY44" s="782"/>
      <c r="OZ44" s="782"/>
      <c r="PA44" s="782"/>
      <c r="PB44" s="782"/>
      <c r="PC44" s="782"/>
      <c r="PD44" s="782"/>
      <c r="PE44" s="782"/>
      <c r="PF44" s="782"/>
      <c r="PG44" s="782"/>
      <c r="PH44" s="782"/>
      <c r="PI44" s="782"/>
      <c r="PJ44" s="782"/>
      <c r="PK44" s="782"/>
      <c r="PL44" s="782"/>
      <c r="PM44" s="782"/>
      <c r="PN44" s="782"/>
      <c r="PO44" s="782"/>
      <c r="PP44" s="782"/>
      <c r="PQ44" s="782"/>
      <c r="PR44" s="782"/>
      <c r="PS44" s="782"/>
      <c r="PT44" s="782"/>
      <c r="PU44" s="782"/>
      <c r="PV44" s="782"/>
      <c r="PW44" s="782"/>
      <c r="PX44" s="782"/>
      <c r="PY44" s="782"/>
      <c r="PZ44" s="782"/>
      <c r="QA44" s="782"/>
      <c r="QB44" s="782"/>
      <c r="QC44" s="782"/>
      <c r="QD44" s="782"/>
      <c r="QE44" s="782"/>
      <c r="QF44" s="782"/>
      <c r="QG44" s="782"/>
      <c r="QH44" s="782"/>
      <c r="QI44" s="782"/>
      <c r="QJ44" s="782"/>
      <c r="QK44" s="782"/>
      <c r="QL44" s="782"/>
      <c r="QM44" s="782"/>
      <c r="QN44" s="782"/>
      <c r="QO44" s="782"/>
      <c r="QP44" s="782"/>
      <c r="QQ44" s="782"/>
      <c r="QR44" s="782"/>
      <c r="QS44" s="782"/>
      <c r="QT44" s="782"/>
      <c r="QU44" s="782"/>
      <c r="QV44" s="782"/>
      <c r="QW44" s="782"/>
      <c r="QX44" s="782"/>
      <c r="QY44" s="782"/>
      <c r="QZ44" s="782"/>
      <c r="RA44" s="782"/>
      <c r="RB44" s="782"/>
      <c r="RC44" s="782"/>
      <c r="RD44" s="782"/>
      <c r="RE44" s="782"/>
      <c r="RF44" s="782"/>
      <c r="RG44" s="782"/>
      <c r="RH44" s="782"/>
      <c r="RI44" s="782"/>
      <c r="RJ44" s="782"/>
      <c r="RK44" s="782"/>
      <c r="RL44" s="782"/>
      <c r="RM44" s="782"/>
      <c r="RN44" s="782"/>
      <c r="RO44" s="782"/>
      <c r="RP44" s="782"/>
      <c r="RQ44" s="782"/>
      <c r="RR44" s="782"/>
      <c r="RS44" s="782"/>
      <c r="RT44" s="782"/>
      <c r="RU44" s="782"/>
      <c r="RV44" s="782"/>
      <c r="RW44" s="782"/>
      <c r="RX44" s="782"/>
    </row>
    <row r="45" spans="1:492" s="143" customFormat="1">
      <c r="A45" s="782"/>
      <c r="B45" s="782"/>
      <c r="C45" s="782"/>
      <c r="D45" s="782"/>
      <c r="E45" s="782"/>
      <c r="F45" s="782"/>
      <c r="G45" s="782"/>
      <c r="H45" s="782"/>
      <c r="I45" s="782"/>
      <c r="J45" s="782"/>
      <c r="K45" s="782"/>
      <c r="L45" s="782"/>
      <c r="M45" s="782"/>
      <c r="N45" s="782"/>
      <c r="O45" s="782"/>
      <c r="P45" s="782"/>
      <c r="Q45" s="782"/>
      <c r="R45" s="782"/>
      <c r="S45" s="782"/>
      <c r="T45" s="782"/>
      <c r="U45" s="782"/>
      <c r="V45" s="782"/>
      <c r="W45" s="782"/>
      <c r="X45" s="782"/>
      <c r="Y45" s="782"/>
      <c r="Z45" s="782"/>
      <c r="AA45" s="782"/>
      <c r="AB45" s="782"/>
      <c r="AC45" s="782"/>
      <c r="AD45" s="782"/>
      <c r="AE45" s="782"/>
      <c r="AF45" s="782"/>
      <c r="AG45" s="782"/>
      <c r="AH45" s="782"/>
      <c r="AI45" s="782"/>
      <c r="AJ45" s="782"/>
      <c r="AK45" s="782"/>
      <c r="AL45" s="782"/>
      <c r="AM45" s="790"/>
      <c r="AN45" s="790"/>
      <c r="AO45" s="790"/>
      <c r="AP45" s="150"/>
      <c r="AQ45" s="785"/>
      <c r="AR45" s="785"/>
      <c r="AS45" s="785"/>
      <c r="AT45" s="785"/>
      <c r="AU45" s="785"/>
      <c r="AV45" s="785"/>
      <c r="AW45" s="790"/>
      <c r="AX45" s="790"/>
      <c r="AY45" s="790"/>
      <c r="AZ45" s="151"/>
      <c r="BA45" s="785"/>
      <c r="BB45" s="790"/>
      <c r="BC45" s="790"/>
      <c r="BD45" s="152"/>
      <c r="BE45" s="152"/>
      <c r="BF45" s="785"/>
      <c r="BG45" s="790"/>
      <c r="BH45" s="790"/>
      <c r="BI45" s="152"/>
      <c r="BJ45" s="152"/>
      <c r="BK45" s="785"/>
      <c r="BL45" s="790"/>
      <c r="BM45" s="790"/>
      <c r="BN45" s="152"/>
      <c r="BO45" s="152"/>
      <c r="BP45" s="785"/>
      <c r="BQ45" s="790"/>
      <c r="BR45" s="790"/>
      <c r="BS45" s="152"/>
      <c r="BT45" s="152"/>
      <c r="BU45" s="785"/>
      <c r="BV45" s="790"/>
      <c r="BW45" s="790"/>
      <c r="BX45" s="152"/>
      <c r="BY45" s="152"/>
      <c r="BZ45" s="785"/>
      <c r="CA45" s="782"/>
      <c r="CB45" s="782"/>
      <c r="CC45" s="782"/>
      <c r="CD45" s="782"/>
      <c r="CE45" s="782"/>
      <c r="CF45" s="782"/>
      <c r="CG45" s="782"/>
      <c r="CH45" s="782"/>
      <c r="CI45" s="782"/>
      <c r="CJ45" s="782"/>
      <c r="CK45" s="782"/>
      <c r="CL45" s="782"/>
      <c r="CM45" s="782"/>
      <c r="CN45" s="782"/>
      <c r="CO45" s="782"/>
      <c r="CP45" s="782"/>
      <c r="CQ45" s="782"/>
      <c r="CR45" s="782"/>
      <c r="CS45" s="782"/>
      <c r="CT45" s="782"/>
      <c r="CU45" s="782"/>
      <c r="CV45" s="782"/>
      <c r="CW45" s="782"/>
      <c r="CX45" s="782"/>
      <c r="CY45" s="782"/>
      <c r="CZ45" s="782"/>
      <c r="DA45" s="782"/>
      <c r="DB45" s="782"/>
      <c r="DC45" s="782"/>
      <c r="DD45" s="782"/>
      <c r="DE45" s="782"/>
      <c r="DF45" s="782"/>
      <c r="DG45" s="782"/>
      <c r="DH45" s="782"/>
      <c r="DI45" s="782"/>
      <c r="DJ45" s="782"/>
      <c r="DK45" s="782"/>
      <c r="DL45" s="782"/>
      <c r="DM45" s="782"/>
      <c r="DN45" s="782"/>
      <c r="DO45" s="782"/>
      <c r="DP45" s="782"/>
      <c r="DQ45" s="782"/>
      <c r="DR45" s="782"/>
      <c r="DS45" s="782"/>
      <c r="DT45" s="782"/>
      <c r="DU45" s="782"/>
      <c r="DV45" s="782"/>
      <c r="DW45" s="782"/>
      <c r="DX45" s="782"/>
      <c r="DY45" s="782"/>
      <c r="DZ45" s="782"/>
      <c r="EA45" s="782"/>
      <c r="EB45" s="782"/>
      <c r="EC45" s="782"/>
      <c r="ED45" s="782"/>
      <c r="EE45" s="782"/>
      <c r="EF45" s="782"/>
      <c r="EG45" s="782"/>
      <c r="EH45" s="782"/>
      <c r="EI45" s="782"/>
      <c r="EJ45" s="782"/>
      <c r="EK45" s="782"/>
      <c r="EL45" s="782"/>
      <c r="EM45" s="782"/>
      <c r="EN45" s="782"/>
      <c r="EO45" s="782"/>
      <c r="EP45" s="782"/>
      <c r="EQ45" s="782"/>
      <c r="ER45" s="782"/>
      <c r="ES45" s="782"/>
      <c r="ET45" s="782"/>
      <c r="EU45" s="782"/>
      <c r="EV45" s="782"/>
      <c r="EW45" s="782"/>
      <c r="EX45" s="782"/>
      <c r="EY45" s="782"/>
      <c r="EZ45" s="782"/>
      <c r="FA45" s="782"/>
      <c r="FB45" s="782"/>
      <c r="FC45" s="782"/>
      <c r="FD45" s="782"/>
      <c r="FE45" s="782"/>
      <c r="FF45" s="782"/>
      <c r="FG45" s="782"/>
      <c r="FH45" s="782"/>
      <c r="FI45" s="782"/>
      <c r="FJ45" s="782"/>
      <c r="FK45" s="782"/>
      <c r="FL45" s="782"/>
      <c r="FM45" s="782"/>
      <c r="FN45" s="782"/>
      <c r="FO45" s="782"/>
      <c r="FP45" s="782"/>
      <c r="FQ45" s="782"/>
      <c r="FR45" s="782"/>
      <c r="FS45" s="782"/>
      <c r="FT45" s="782"/>
      <c r="FU45" s="782"/>
      <c r="FV45" s="782"/>
      <c r="FW45" s="782"/>
      <c r="FX45" s="782"/>
      <c r="FY45" s="782"/>
      <c r="FZ45" s="782"/>
      <c r="GA45" s="782"/>
      <c r="GB45" s="782"/>
      <c r="GC45" s="782"/>
      <c r="GD45" s="782"/>
      <c r="GE45" s="782"/>
      <c r="GF45" s="782"/>
      <c r="GG45" s="782"/>
      <c r="GH45" s="782"/>
      <c r="GI45" s="782"/>
      <c r="GJ45" s="782"/>
      <c r="GK45" s="782"/>
      <c r="GL45" s="782"/>
      <c r="GM45" s="782"/>
      <c r="GN45" s="782"/>
      <c r="GO45" s="782"/>
      <c r="GP45" s="782"/>
      <c r="GQ45" s="782"/>
      <c r="GR45" s="782"/>
      <c r="GS45" s="782"/>
      <c r="GT45" s="782"/>
      <c r="GU45" s="782"/>
      <c r="GV45" s="782"/>
      <c r="GW45" s="782"/>
      <c r="GX45" s="782"/>
      <c r="GY45" s="782"/>
      <c r="GZ45" s="782"/>
      <c r="HA45" s="782"/>
      <c r="HB45" s="782"/>
      <c r="HC45" s="782"/>
      <c r="HD45" s="782"/>
      <c r="HE45" s="782"/>
      <c r="HF45" s="782"/>
      <c r="HG45" s="782"/>
      <c r="HH45" s="782"/>
      <c r="HI45" s="782"/>
      <c r="HJ45" s="782"/>
      <c r="HK45" s="782"/>
      <c r="HL45" s="782"/>
      <c r="HM45" s="782"/>
      <c r="HN45" s="782"/>
      <c r="HO45" s="782"/>
      <c r="HP45" s="782"/>
      <c r="HQ45" s="782"/>
      <c r="HR45" s="782"/>
      <c r="HS45" s="782"/>
      <c r="HT45" s="782"/>
      <c r="HU45" s="782"/>
      <c r="HV45" s="782"/>
      <c r="HW45" s="782"/>
      <c r="HX45" s="782"/>
      <c r="HY45" s="782"/>
      <c r="HZ45" s="782"/>
      <c r="IA45" s="782"/>
      <c r="IB45" s="782"/>
      <c r="IC45" s="782"/>
      <c r="ID45" s="782"/>
      <c r="IE45" s="782"/>
      <c r="IF45" s="782"/>
      <c r="IG45" s="782"/>
      <c r="IH45" s="782"/>
      <c r="II45" s="782"/>
      <c r="IJ45" s="782"/>
      <c r="IK45" s="782"/>
      <c r="IL45" s="782"/>
      <c r="IM45" s="782"/>
      <c r="IN45" s="782"/>
      <c r="IO45" s="782"/>
      <c r="IP45" s="782"/>
      <c r="IQ45" s="782"/>
      <c r="IR45" s="782"/>
      <c r="IS45" s="782"/>
      <c r="IT45" s="782"/>
      <c r="IU45" s="782"/>
      <c r="IV45" s="782"/>
      <c r="IW45" s="782"/>
      <c r="IX45" s="782"/>
      <c r="IY45" s="782"/>
      <c r="IZ45" s="782"/>
      <c r="JA45" s="782"/>
      <c r="JB45" s="782"/>
      <c r="JC45" s="782"/>
      <c r="JD45" s="782"/>
      <c r="JE45" s="782"/>
      <c r="JF45" s="782"/>
      <c r="JG45" s="782"/>
      <c r="JH45" s="782"/>
      <c r="JI45" s="782"/>
      <c r="JJ45" s="782"/>
      <c r="JK45" s="782"/>
      <c r="JL45" s="782"/>
      <c r="JM45" s="782"/>
      <c r="JN45" s="782"/>
      <c r="JO45" s="782"/>
      <c r="JP45" s="782"/>
      <c r="JQ45" s="782"/>
      <c r="JR45" s="782"/>
      <c r="JS45" s="782"/>
      <c r="JT45" s="782"/>
      <c r="JU45" s="782"/>
      <c r="JV45" s="782"/>
      <c r="JW45" s="782"/>
      <c r="JX45" s="782"/>
      <c r="JY45" s="782"/>
      <c r="JZ45" s="782"/>
      <c r="KA45" s="782"/>
      <c r="KB45" s="782"/>
      <c r="KC45" s="782"/>
      <c r="KD45" s="782"/>
      <c r="KE45" s="782"/>
      <c r="KF45" s="782"/>
      <c r="KG45" s="782"/>
      <c r="KH45" s="782"/>
      <c r="KI45" s="782"/>
      <c r="KJ45" s="782"/>
      <c r="KK45" s="782"/>
      <c r="KL45" s="782"/>
      <c r="KM45" s="782"/>
      <c r="KN45" s="782"/>
      <c r="KO45" s="782"/>
      <c r="KP45" s="782"/>
      <c r="KQ45" s="782"/>
      <c r="KR45" s="782"/>
      <c r="KS45" s="782"/>
      <c r="KT45" s="782"/>
      <c r="KU45" s="782"/>
      <c r="KV45" s="782"/>
      <c r="KW45" s="782"/>
      <c r="KX45" s="782"/>
      <c r="KY45" s="782"/>
      <c r="KZ45" s="782"/>
      <c r="LA45" s="782"/>
      <c r="LB45" s="782"/>
      <c r="LC45" s="782"/>
      <c r="LD45" s="782"/>
      <c r="LE45" s="782"/>
      <c r="LF45" s="782"/>
      <c r="LG45" s="782"/>
      <c r="LH45" s="782"/>
      <c r="LI45" s="782"/>
      <c r="LJ45" s="782"/>
      <c r="LK45" s="782"/>
      <c r="LL45" s="782"/>
      <c r="LM45" s="782"/>
      <c r="LN45" s="782"/>
      <c r="LO45" s="782"/>
      <c r="LP45" s="782"/>
      <c r="LQ45" s="782"/>
      <c r="LR45" s="782"/>
      <c r="LS45" s="782"/>
      <c r="LT45" s="782"/>
      <c r="LU45" s="782"/>
      <c r="LV45" s="782"/>
      <c r="LW45" s="782"/>
      <c r="LX45" s="782"/>
      <c r="LY45" s="782"/>
      <c r="LZ45" s="782"/>
      <c r="MA45" s="782"/>
      <c r="MB45" s="782"/>
      <c r="MC45" s="782"/>
      <c r="MD45" s="782"/>
      <c r="ME45" s="782"/>
      <c r="MF45" s="782"/>
      <c r="MG45" s="782"/>
      <c r="MH45" s="782"/>
      <c r="MI45" s="782"/>
      <c r="MJ45" s="782"/>
      <c r="MK45" s="782"/>
      <c r="ML45" s="782"/>
      <c r="MM45" s="782"/>
      <c r="MN45" s="782"/>
      <c r="MO45" s="782"/>
      <c r="MP45" s="782"/>
      <c r="MQ45" s="782"/>
      <c r="MR45" s="782"/>
      <c r="MS45" s="782"/>
      <c r="MT45" s="782"/>
      <c r="MU45" s="782"/>
      <c r="MV45" s="782"/>
      <c r="MW45" s="782"/>
      <c r="MX45" s="782"/>
      <c r="MY45" s="782"/>
      <c r="MZ45" s="782"/>
      <c r="NA45" s="782"/>
      <c r="NB45" s="782"/>
      <c r="NC45" s="782"/>
      <c r="ND45" s="782"/>
      <c r="NE45" s="782"/>
      <c r="NF45" s="782"/>
      <c r="NG45" s="782"/>
      <c r="NH45" s="782"/>
      <c r="NI45" s="782"/>
      <c r="NJ45" s="782"/>
      <c r="NK45" s="782"/>
      <c r="NL45" s="782"/>
      <c r="NM45" s="782"/>
      <c r="NN45" s="782"/>
      <c r="NO45" s="782"/>
      <c r="NP45" s="782"/>
      <c r="NQ45" s="782"/>
      <c r="NR45" s="782"/>
      <c r="NS45" s="782"/>
      <c r="NT45" s="782"/>
      <c r="NU45" s="782"/>
      <c r="NV45" s="782"/>
      <c r="NW45" s="782"/>
      <c r="NX45" s="782"/>
      <c r="NY45" s="782"/>
      <c r="NZ45" s="782"/>
      <c r="OA45" s="782"/>
      <c r="OB45" s="782"/>
      <c r="OC45" s="782"/>
      <c r="OD45" s="782"/>
      <c r="OE45" s="782"/>
      <c r="OF45" s="782"/>
      <c r="OG45" s="782"/>
      <c r="OH45" s="782"/>
      <c r="OI45" s="782"/>
      <c r="OJ45" s="782"/>
      <c r="OK45" s="782"/>
      <c r="OL45" s="782"/>
      <c r="OM45" s="782"/>
      <c r="ON45" s="782"/>
      <c r="OO45" s="782"/>
      <c r="OP45" s="782"/>
      <c r="OQ45" s="782"/>
      <c r="OR45" s="782"/>
      <c r="OS45" s="782"/>
      <c r="OT45" s="782"/>
      <c r="OU45" s="782"/>
      <c r="OV45" s="782"/>
      <c r="OW45" s="782"/>
      <c r="OX45" s="782"/>
      <c r="OY45" s="782"/>
      <c r="OZ45" s="782"/>
      <c r="PA45" s="782"/>
      <c r="PB45" s="782"/>
      <c r="PC45" s="782"/>
      <c r="PD45" s="782"/>
      <c r="PE45" s="782"/>
      <c r="PF45" s="782"/>
      <c r="PG45" s="782"/>
      <c r="PH45" s="782"/>
      <c r="PI45" s="782"/>
      <c r="PJ45" s="782"/>
      <c r="PK45" s="782"/>
      <c r="PL45" s="782"/>
      <c r="PM45" s="782"/>
      <c r="PN45" s="782"/>
      <c r="PO45" s="782"/>
      <c r="PP45" s="782"/>
      <c r="PQ45" s="782"/>
      <c r="PR45" s="782"/>
      <c r="PS45" s="782"/>
      <c r="PT45" s="782"/>
      <c r="PU45" s="782"/>
      <c r="PV45" s="782"/>
      <c r="PW45" s="782"/>
      <c r="PX45" s="782"/>
      <c r="PY45" s="782"/>
      <c r="PZ45" s="782"/>
      <c r="QA45" s="782"/>
      <c r="QB45" s="782"/>
      <c r="QC45" s="782"/>
      <c r="QD45" s="782"/>
      <c r="QE45" s="782"/>
      <c r="QF45" s="782"/>
      <c r="QG45" s="782"/>
      <c r="QH45" s="782"/>
      <c r="QI45" s="782"/>
      <c r="QJ45" s="782"/>
      <c r="QK45" s="782"/>
      <c r="QL45" s="782"/>
      <c r="QM45" s="782"/>
      <c r="QN45" s="782"/>
      <c r="QO45" s="782"/>
      <c r="QP45" s="782"/>
      <c r="QQ45" s="782"/>
      <c r="QR45" s="782"/>
      <c r="QS45" s="782"/>
      <c r="QT45" s="782"/>
      <c r="QU45" s="782"/>
      <c r="QV45" s="782"/>
      <c r="QW45" s="782"/>
      <c r="QX45" s="782"/>
      <c r="QY45" s="782"/>
      <c r="QZ45" s="782"/>
      <c r="RA45" s="782"/>
      <c r="RB45" s="782"/>
      <c r="RC45" s="782"/>
      <c r="RD45" s="782"/>
      <c r="RE45" s="782"/>
      <c r="RF45" s="782"/>
      <c r="RG45" s="782"/>
      <c r="RH45" s="782"/>
      <c r="RI45" s="782"/>
      <c r="RJ45" s="782"/>
      <c r="RK45" s="782"/>
      <c r="RL45" s="782"/>
      <c r="RM45" s="782"/>
      <c r="RN45" s="782"/>
      <c r="RO45" s="782"/>
      <c r="RP45" s="782"/>
      <c r="RQ45" s="782"/>
      <c r="RR45" s="782"/>
      <c r="RS45" s="782"/>
      <c r="RT45" s="782"/>
      <c r="RU45" s="782"/>
      <c r="RV45" s="782"/>
      <c r="RW45" s="782"/>
      <c r="RX45" s="782"/>
    </row>
    <row r="46" spans="1:492" s="143" customFormat="1">
      <c r="A46" s="782"/>
      <c r="B46" s="782"/>
      <c r="C46" s="782"/>
      <c r="D46" s="782"/>
      <c r="E46" s="782"/>
      <c r="F46" s="782"/>
      <c r="G46" s="782"/>
      <c r="H46" s="782"/>
      <c r="I46" s="782"/>
      <c r="J46" s="782"/>
      <c r="K46" s="782"/>
      <c r="L46" s="782"/>
      <c r="M46" s="782"/>
      <c r="N46" s="782"/>
      <c r="O46" s="782"/>
      <c r="P46" s="782"/>
      <c r="Q46" s="782"/>
      <c r="R46" s="782"/>
      <c r="S46" s="782"/>
      <c r="T46" s="782"/>
      <c r="U46" s="782"/>
      <c r="V46" s="782"/>
      <c r="W46" s="782"/>
      <c r="X46" s="782"/>
      <c r="Y46" s="782"/>
      <c r="Z46" s="782"/>
      <c r="AA46" s="782"/>
      <c r="AB46" s="782"/>
      <c r="AC46" s="782"/>
      <c r="AD46" s="782"/>
      <c r="AE46" s="782"/>
      <c r="AF46" s="782"/>
      <c r="AG46" s="782"/>
      <c r="AH46" s="782"/>
      <c r="AI46" s="782"/>
      <c r="AJ46" s="782"/>
      <c r="AK46" s="782"/>
      <c r="AL46" s="782"/>
      <c r="AM46" s="790"/>
      <c r="AN46" s="790"/>
      <c r="AO46" s="790"/>
      <c r="AP46" s="790"/>
      <c r="AQ46" s="785"/>
      <c r="AR46" s="785"/>
      <c r="AS46" s="785"/>
      <c r="AT46" s="785"/>
      <c r="AU46" s="785"/>
      <c r="AV46" s="785"/>
      <c r="AW46" s="790"/>
      <c r="AX46" s="790"/>
      <c r="AY46" s="790"/>
      <c r="AZ46" s="790"/>
      <c r="BA46" s="785"/>
      <c r="BB46" s="785"/>
      <c r="BC46" s="791"/>
      <c r="BD46" s="790"/>
      <c r="BE46" s="790"/>
      <c r="BF46" s="785"/>
      <c r="BG46" s="785"/>
      <c r="BH46" s="791"/>
      <c r="BI46" s="790"/>
      <c r="BJ46" s="790"/>
      <c r="BK46" s="785"/>
      <c r="BL46" s="785"/>
      <c r="BM46" s="791"/>
      <c r="BN46" s="790"/>
      <c r="BO46" s="790"/>
      <c r="BP46" s="785"/>
      <c r="BQ46" s="785"/>
      <c r="BR46" s="791"/>
      <c r="BS46" s="790"/>
      <c r="BT46" s="790"/>
      <c r="BU46" s="785"/>
      <c r="BV46" s="785"/>
      <c r="BW46" s="791"/>
      <c r="BX46" s="790"/>
      <c r="BY46" s="790"/>
      <c r="BZ46" s="785"/>
      <c r="CA46" s="782"/>
      <c r="CB46" s="782"/>
      <c r="CC46" s="782"/>
      <c r="CD46" s="782"/>
      <c r="CE46" s="782"/>
      <c r="CF46" s="782"/>
      <c r="CG46" s="782"/>
      <c r="CH46" s="782"/>
      <c r="CI46" s="782"/>
      <c r="CJ46" s="782"/>
      <c r="CK46" s="782"/>
      <c r="CL46" s="782"/>
      <c r="CM46" s="782"/>
      <c r="CN46" s="782"/>
      <c r="CO46" s="782"/>
      <c r="CP46" s="782"/>
      <c r="CQ46" s="782"/>
      <c r="CR46" s="782"/>
      <c r="CS46" s="782"/>
      <c r="CT46" s="782"/>
      <c r="CU46" s="782"/>
      <c r="CV46" s="782"/>
      <c r="CW46" s="782"/>
      <c r="CX46" s="782"/>
      <c r="CY46" s="782"/>
      <c r="CZ46" s="782"/>
      <c r="DA46" s="782"/>
      <c r="DB46" s="782"/>
      <c r="DC46" s="782"/>
      <c r="DD46" s="782"/>
      <c r="DE46" s="782"/>
      <c r="DF46" s="782"/>
      <c r="DG46" s="782"/>
      <c r="DH46" s="782"/>
      <c r="DI46" s="782"/>
      <c r="DJ46" s="782"/>
      <c r="DK46" s="782"/>
      <c r="DL46" s="782"/>
      <c r="DM46" s="782"/>
      <c r="DN46" s="782"/>
      <c r="DO46" s="782"/>
      <c r="DP46" s="782"/>
      <c r="DQ46" s="782"/>
      <c r="DR46" s="782"/>
      <c r="DS46" s="782"/>
      <c r="DT46" s="782"/>
      <c r="DU46" s="782"/>
      <c r="DV46" s="782"/>
      <c r="DW46" s="782"/>
      <c r="DX46" s="782"/>
      <c r="DY46" s="782"/>
      <c r="DZ46" s="782"/>
      <c r="EA46" s="782"/>
      <c r="EB46" s="782"/>
      <c r="EC46" s="782"/>
      <c r="ED46" s="782"/>
      <c r="EE46" s="782"/>
      <c r="EF46" s="782"/>
      <c r="EG46" s="782"/>
      <c r="EH46" s="782"/>
      <c r="EI46" s="782"/>
      <c r="EJ46" s="782"/>
      <c r="EK46" s="782"/>
      <c r="EL46" s="782"/>
      <c r="EM46" s="782"/>
      <c r="EN46" s="782"/>
      <c r="EO46" s="782"/>
      <c r="EP46" s="782"/>
      <c r="EQ46" s="782"/>
      <c r="ER46" s="782"/>
      <c r="ES46" s="782"/>
      <c r="ET46" s="782"/>
      <c r="EU46" s="782"/>
      <c r="EV46" s="782"/>
      <c r="EW46" s="782"/>
      <c r="EX46" s="782"/>
      <c r="EY46" s="782"/>
      <c r="EZ46" s="782"/>
      <c r="FA46" s="782"/>
      <c r="FB46" s="782"/>
      <c r="FC46" s="782"/>
      <c r="FD46" s="782"/>
      <c r="FE46" s="782"/>
      <c r="FF46" s="782"/>
      <c r="FG46" s="782"/>
      <c r="FH46" s="782"/>
      <c r="FI46" s="782"/>
      <c r="FJ46" s="782"/>
      <c r="FK46" s="782"/>
      <c r="FL46" s="782"/>
      <c r="FM46" s="782"/>
      <c r="FN46" s="782"/>
      <c r="FO46" s="782"/>
      <c r="FP46" s="782"/>
      <c r="FQ46" s="782"/>
      <c r="FR46" s="782"/>
      <c r="FS46" s="782"/>
      <c r="FT46" s="782"/>
      <c r="FU46" s="782"/>
      <c r="FV46" s="782"/>
      <c r="FW46" s="782"/>
      <c r="FX46" s="782"/>
      <c r="FY46" s="782"/>
      <c r="FZ46" s="782"/>
      <c r="GA46" s="782"/>
      <c r="GB46" s="782"/>
      <c r="GC46" s="782"/>
      <c r="GD46" s="782"/>
      <c r="GE46" s="782"/>
      <c r="GF46" s="782"/>
      <c r="GG46" s="782"/>
      <c r="GH46" s="782"/>
      <c r="GI46" s="782"/>
      <c r="GJ46" s="782"/>
      <c r="GK46" s="782"/>
      <c r="GL46" s="782"/>
      <c r="GM46" s="782"/>
      <c r="GN46" s="782"/>
      <c r="GO46" s="782"/>
      <c r="GP46" s="782"/>
      <c r="GQ46" s="782"/>
      <c r="GR46" s="782"/>
      <c r="GS46" s="782"/>
      <c r="GT46" s="782"/>
      <c r="GU46" s="782"/>
      <c r="GV46" s="782"/>
      <c r="GW46" s="782"/>
      <c r="GX46" s="782"/>
      <c r="GY46" s="782"/>
      <c r="GZ46" s="782"/>
      <c r="HA46" s="782"/>
      <c r="HB46" s="782"/>
      <c r="HC46" s="782"/>
      <c r="HD46" s="782"/>
      <c r="HE46" s="782"/>
      <c r="HF46" s="782"/>
      <c r="HG46" s="782"/>
      <c r="HH46" s="782"/>
      <c r="HI46" s="782"/>
      <c r="HJ46" s="782"/>
      <c r="HK46" s="782"/>
      <c r="HL46" s="782"/>
      <c r="HM46" s="782"/>
      <c r="HN46" s="782"/>
      <c r="HO46" s="782"/>
      <c r="HP46" s="782"/>
      <c r="HQ46" s="782"/>
      <c r="HR46" s="782"/>
      <c r="HS46" s="782"/>
      <c r="HT46" s="782"/>
      <c r="HU46" s="782"/>
      <c r="HV46" s="782"/>
      <c r="HW46" s="782"/>
      <c r="HX46" s="782"/>
      <c r="HY46" s="782"/>
      <c r="HZ46" s="782"/>
      <c r="IA46" s="782"/>
      <c r="IB46" s="782"/>
      <c r="IC46" s="782"/>
      <c r="ID46" s="782"/>
      <c r="IE46" s="782"/>
      <c r="IF46" s="782"/>
      <c r="IG46" s="782"/>
      <c r="IH46" s="782"/>
      <c r="II46" s="782"/>
      <c r="IJ46" s="782"/>
      <c r="IK46" s="782"/>
      <c r="IL46" s="782"/>
      <c r="IM46" s="782"/>
      <c r="IN46" s="782"/>
      <c r="IO46" s="782"/>
      <c r="IP46" s="782"/>
      <c r="IQ46" s="782"/>
      <c r="IR46" s="782"/>
      <c r="IS46" s="782"/>
      <c r="IT46" s="782"/>
      <c r="IU46" s="782"/>
      <c r="IV46" s="782"/>
      <c r="IW46" s="782"/>
      <c r="IX46" s="782"/>
      <c r="IY46" s="782"/>
      <c r="IZ46" s="782"/>
      <c r="JA46" s="782"/>
      <c r="JB46" s="782"/>
      <c r="JC46" s="782"/>
      <c r="JD46" s="782"/>
      <c r="JE46" s="782"/>
      <c r="JF46" s="782"/>
      <c r="JG46" s="782"/>
      <c r="JH46" s="782"/>
      <c r="JI46" s="782"/>
      <c r="JJ46" s="782"/>
      <c r="JK46" s="782"/>
      <c r="JL46" s="782"/>
      <c r="JM46" s="782"/>
      <c r="JN46" s="782"/>
      <c r="JO46" s="782"/>
      <c r="JP46" s="782"/>
      <c r="JQ46" s="782"/>
      <c r="JR46" s="782"/>
      <c r="JS46" s="782"/>
      <c r="JT46" s="782"/>
      <c r="JU46" s="782"/>
      <c r="JV46" s="782"/>
      <c r="JW46" s="782"/>
      <c r="JX46" s="782"/>
      <c r="JY46" s="782"/>
      <c r="JZ46" s="782"/>
      <c r="KA46" s="782"/>
      <c r="KB46" s="782"/>
      <c r="KC46" s="782"/>
      <c r="KD46" s="782"/>
      <c r="KE46" s="782"/>
      <c r="KF46" s="782"/>
      <c r="KG46" s="782"/>
      <c r="KH46" s="782"/>
      <c r="KI46" s="782"/>
      <c r="KJ46" s="782"/>
      <c r="KK46" s="782"/>
      <c r="KL46" s="782"/>
      <c r="KM46" s="782"/>
      <c r="KN46" s="782"/>
      <c r="KO46" s="782"/>
      <c r="KP46" s="782"/>
      <c r="KQ46" s="782"/>
      <c r="KR46" s="782"/>
      <c r="KS46" s="782"/>
      <c r="KT46" s="782"/>
      <c r="KU46" s="782"/>
      <c r="KV46" s="782"/>
      <c r="KW46" s="782"/>
      <c r="KX46" s="782"/>
      <c r="KY46" s="782"/>
      <c r="KZ46" s="782"/>
      <c r="LA46" s="782"/>
      <c r="LB46" s="782"/>
      <c r="LC46" s="782"/>
      <c r="LD46" s="782"/>
      <c r="LE46" s="782"/>
      <c r="LF46" s="782"/>
      <c r="LG46" s="782"/>
      <c r="LH46" s="782"/>
      <c r="LI46" s="782"/>
      <c r="LJ46" s="782"/>
      <c r="LK46" s="782"/>
      <c r="LL46" s="782"/>
      <c r="LM46" s="782"/>
      <c r="LN46" s="782"/>
      <c r="LO46" s="782"/>
      <c r="LP46" s="782"/>
      <c r="LQ46" s="782"/>
      <c r="LR46" s="782"/>
      <c r="LS46" s="782"/>
      <c r="LT46" s="782"/>
      <c r="LU46" s="782"/>
      <c r="LV46" s="782"/>
      <c r="LW46" s="782"/>
      <c r="LX46" s="782"/>
      <c r="LY46" s="782"/>
      <c r="LZ46" s="782"/>
      <c r="MA46" s="782"/>
      <c r="MB46" s="782"/>
      <c r="MC46" s="782"/>
      <c r="MD46" s="782"/>
      <c r="ME46" s="782"/>
      <c r="MF46" s="782"/>
      <c r="MG46" s="782"/>
      <c r="MH46" s="782"/>
      <c r="MI46" s="782"/>
      <c r="MJ46" s="782"/>
      <c r="MK46" s="782"/>
      <c r="ML46" s="782"/>
      <c r="MM46" s="782"/>
      <c r="MN46" s="782"/>
      <c r="MO46" s="782"/>
      <c r="MP46" s="782"/>
      <c r="MQ46" s="782"/>
      <c r="MR46" s="782"/>
      <c r="MS46" s="782"/>
      <c r="MT46" s="782"/>
      <c r="MU46" s="782"/>
      <c r="MV46" s="782"/>
      <c r="MW46" s="782"/>
      <c r="MX46" s="782"/>
      <c r="MY46" s="782"/>
      <c r="MZ46" s="782"/>
      <c r="NA46" s="782"/>
      <c r="NB46" s="782"/>
      <c r="NC46" s="782"/>
      <c r="ND46" s="782"/>
      <c r="NE46" s="782"/>
      <c r="NF46" s="782"/>
      <c r="NG46" s="782"/>
      <c r="NH46" s="782"/>
      <c r="NI46" s="782"/>
      <c r="NJ46" s="782"/>
      <c r="NK46" s="782"/>
      <c r="NL46" s="782"/>
      <c r="NM46" s="782"/>
      <c r="NN46" s="782"/>
      <c r="NO46" s="782"/>
      <c r="NP46" s="782"/>
      <c r="NQ46" s="782"/>
      <c r="NR46" s="782"/>
      <c r="NS46" s="782"/>
      <c r="NT46" s="782"/>
      <c r="NU46" s="782"/>
      <c r="NV46" s="782"/>
      <c r="NW46" s="782"/>
      <c r="NX46" s="782"/>
      <c r="NY46" s="782"/>
      <c r="NZ46" s="782"/>
      <c r="OA46" s="782"/>
      <c r="OB46" s="782"/>
      <c r="OC46" s="782"/>
      <c r="OD46" s="782"/>
      <c r="OE46" s="782"/>
      <c r="OF46" s="782"/>
      <c r="OG46" s="782"/>
      <c r="OH46" s="782"/>
      <c r="OI46" s="782"/>
      <c r="OJ46" s="782"/>
      <c r="OK46" s="782"/>
      <c r="OL46" s="782"/>
      <c r="OM46" s="782"/>
      <c r="ON46" s="782"/>
      <c r="OO46" s="782"/>
      <c r="OP46" s="782"/>
      <c r="OQ46" s="782"/>
      <c r="OR46" s="782"/>
      <c r="OS46" s="782"/>
      <c r="OT46" s="782"/>
      <c r="OU46" s="782"/>
      <c r="OV46" s="782"/>
      <c r="OW46" s="782"/>
      <c r="OX46" s="782"/>
      <c r="OY46" s="782"/>
      <c r="OZ46" s="782"/>
      <c r="PA46" s="782"/>
      <c r="PB46" s="782"/>
      <c r="PC46" s="782"/>
      <c r="PD46" s="782"/>
      <c r="PE46" s="782"/>
      <c r="PF46" s="782"/>
      <c r="PG46" s="782"/>
      <c r="PH46" s="782"/>
      <c r="PI46" s="782"/>
      <c r="PJ46" s="782"/>
      <c r="PK46" s="782"/>
      <c r="PL46" s="782"/>
      <c r="PM46" s="782"/>
      <c r="PN46" s="782"/>
      <c r="PO46" s="782"/>
      <c r="PP46" s="782"/>
      <c r="PQ46" s="782"/>
      <c r="PR46" s="782"/>
      <c r="PS46" s="782"/>
      <c r="PT46" s="782"/>
      <c r="PU46" s="782"/>
      <c r="PV46" s="782"/>
      <c r="PW46" s="782"/>
      <c r="PX46" s="782"/>
      <c r="PY46" s="782"/>
      <c r="PZ46" s="782"/>
      <c r="QA46" s="782"/>
      <c r="QB46" s="782"/>
      <c r="QC46" s="782"/>
      <c r="QD46" s="782"/>
      <c r="QE46" s="782"/>
      <c r="QF46" s="782"/>
      <c r="QG46" s="782"/>
      <c r="QH46" s="782"/>
      <c r="QI46" s="782"/>
      <c r="QJ46" s="782"/>
      <c r="QK46" s="782"/>
      <c r="QL46" s="782"/>
      <c r="QM46" s="782"/>
      <c r="QN46" s="782"/>
      <c r="QO46" s="782"/>
      <c r="QP46" s="782"/>
      <c r="QQ46" s="782"/>
      <c r="QR46" s="782"/>
      <c r="QS46" s="782"/>
      <c r="QT46" s="782"/>
      <c r="QU46" s="782"/>
      <c r="QV46" s="782"/>
      <c r="QW46" s="782"/>
      <c r="QX46" s="782"/>
      <c r="QY46" s="782"/>
      <c r="QZ46" s="782"/>
      <c r="RA46" s="782"/>
      <c r="RB46" s="782"/>
      <c r="RC46" s="782"/>
      <c r="RD46" s="782"/>
      <c r="RE46" s="782"/>
      <c r="RF46" s="782"/>
      <c r="RG46" s="782"/>
      <c r="RH46" s="782"/>
      <c r="RI46" s="782"/>
      <c r="RJ46" s="782"/>
      <c r="RK46" s="782"/>
      <c r="RL46" s="782"/>
      <c r="RM46" s="782"/>
      <c r="RN46" s="782"/>
      <c r="RO46" s="782"/>
      <c r="RP46" s="782"/>
      <c r="RQ46" s="782"/>
      <c r="RR46" s="782"/>
      <c r="RS46" s="782"/>
      <c r="RT46" s="782"/>
      <c r="RU46" s="782"/>
      <c r="RV46" s="782"/>
      <c r="RW46" s="782"/>
      <c r="RX46" s="782"/>
    </row>
    <row r="47" spans="1:492" s="143" customFormat="1">
      <c r="A47" s="782"/>
      <c r="B47" s="782"/>
      <c r="C47" s="782"/>
      <c r="D47" s="782"/>
      <c r="E47" s="782"/>
      <c r="F47" s="782"/>
      <c r="G47" s="782"/>
      <c r="H47" s="782"/>
      <c r="I47" s="782"/>
      <c r="J47" s="782"/>
      <c r="K47" s="782"/>
      <c r="L47" s="782"/>
      <c r="M47" s="782"/>
      <c r="N47" s="782"/>
      <c r="O47" s="782"/>
      <c r="P47" s="782"/>
      <c r="Q47" s="782"/>
      <c r="R47" s="782"/>
      <c r="S47" s="782"/>
      <c r="T47" s="782"/>
      <c r="U47" s="782"/>
      <c r="V47" s="782"/>
      <c r="W47" s="782"/>
      <c r="X47" s="782"/>
      <c r="Y47" s="782"/>
      <c r="Z47" s="782"/>
      <c r="AA47" s="782"/>
      <c r="AB47" s="782"/>
      <c r="AC47" s="782"/>
      <c r="AD47" s="782"/>
      <c r="AE47" s="782"/>
      <c r="AF47" s="782"/>
      <c r="AG47" s="782"/>
      <c r="AH47" s="782"/>
      <c r="AI47" s="782"/>
      <c r="AJ47" s="782"/>
      <c r="AK47" s="782"/>
      <c r="AL47" s="782"/>
      <c r="AM47" s="790"/>
      <c r="AN47" s="790"/>
      <c r="AO47" s="790"/>
      <c r="AP47" s="790"/>
      <c r="AQ47" s="785"/>
      <c r="AR47" s="785"/>
      <c r="AS47" s="785"/>
      <c r="AT47" s="785"/>
      <c r="AU47" s="785"/>
      <c r="AV47" s="785"/>
      <c r="AW47" s="790"/>
      <c r="AX47" s="790"/>
      <c r="AY47" s="790"/>
      <c r="AZ47" s="790"/>
      <c r="BA47" s="785"/>
      <c r="BB47" s="785"/>
      <c r="BC47" s="785"/>
      <c r="BD47" s="790"/>
      <c r="BE47" s="785"/>
      <c r="BF47" s="149"/>
      <c r="BG47" s="785"/>
      <c r="BH47" s="785"/>
      <c r="BI47" s="790"/>
      <c r="BJ47" s="785"/>
      <c r="BK47" s="149"/>
      <c r="BL47" s="785"/>
      <c r="BM47" s="785"/>
      <c r="BN47" s="790"/>
      <c r="BO47" s="785"/>
      <c r="BP47" s="149"/>
      <c r="BQ47" s="785"/>
      <c r="BR47" s="785"/>
      <c r="BS47" s="790"/>
      <c r="BT47" s="785"/>
      <c r="BU47" s="149"/>
      <c r="BV47" s="785"/>
      <c r="BW47" s="785"/>
      <c r="BX47" s="790"/>
      <c r="BY47" s="785"/>
      <c r="BZ47" s="149"/>
      <c r="CA47" s="782"/>
      <c r="CB47" s="782"/>
      <c r="CC47" s="782"/>
      <c r="CD47" s="782"/>
      <c r="CE47" s="782"/>
      <c r="CF47" s="782"/>
      <c r="CG47" s="782"/>
      <c r="CH47" s="782"/>
      <c r="CI47" s="782"/>
      <c r="CJ47" s="782"/>
      <c r="CK47" s="782"/>
      <c r="CL47" s="782"/>
      <c r="CM47" s="782"/>
      <c r="CN47" s="782"/>
      <c r="CO47" s="782"/>
      <c r="CP47" s="782"/>
      <c r="CQ47" s="782"/>
      <c r="CR47" s="782"/>
      <c r="CS47" s="782"/>
      <c r="CT47" s="782"/>
      <c r="CU47" s="782"/>
      <c r="CV47" s="782"/>
      <c r="CW47" s="782"/>
      <c r="CX47" s="782"/>
      <c r="CY47" s="782"/>
      <c r="CZ47" s="782"/>
      <c r="DA47" s="782"/>
      <c r="DB47" s="782"/>
      <c r="DC47" s="782"/>
      <c r="DD47" s="782"/>
      <c r="DE47" s="782"/>
      <c r="DF47" s="782"/>
      <c r="DG47" s="782"/>
      <c r="DH47" s="782"/>
      <c r="DI47" s="782"/>
      <c r="DJ47" s="782"/>
      <c r="DK47" s="782"/>
      <c r="DL47" s="782"/>
      <c r="DM47" s="782"/>
      <c r="DN47" s="782"/>
      <c r="DO47" s="782"/>
      <c r="DP47" s="782"/>
      <c r="DQ47" s="782"/>
      <c r="DR47" s="782"/>
      <c r="DS47" s="782"/>
      <c r="DT47" s="782"/>
      <c r="DU47" s="782"/>
      <c r="DV47" s="782"/>
      <c r="DW47" s="782"/>
      <c r="DX47" s="782"/>
      <c r="DY47" s="782"/>
      <c r="DZ47" s="782"/>
      <c r="EA47" s="782"/>
      <c r="EB47" s="782"/>
      <c r="EC47" s="782"/>
      <c r="ED47" s="782"/>
      <c r="EE47" s="782"/>
      <c r="EF47" s="782"/>
      <c r="EG47" s="782"/>
      <c r="EH47" s="782"/>
      <c r="EI47" s="782"/>
      <c r="EJ47" s="782"/>
      <c r="EK47" s="782"/>
      <c r="EL47" s="782"/>
      <c r="EM47" s="782"/>
      <c r="EN47" s="782"/>
      <c r="EO47" s="782"/>
      <c r="EP47" s="782"/>
      <c r="EQ47" s="782"/>
      <c r="ER47" s="782"/>
      <c r="ES47" s="782"/>
      <c r="ET47" s="782"/>
      <c r="EU47" s="782"/>
      <c r="EV47" s="782"/>
      <c r="EW47" s="782"/>
      <c r="EX47" s="782"/>
      <c r="EY47" s="782"/>
      <c r="EZ47" s="782"/>
      <c r="FA47" s="782"/>
      <c r="FB47" s="782"/>
      <c r="FC47" s="782"/>
      <c r="FD47" s="782"/>
      <c r="FE47" s="782"/>
      <c r="FF47" s="782"/>
      <c r="FG47" s="782"/>
      <c r="FH47" s="782"/>
      <c r="FI47" s="782"/>
      <c r="FJ47" s="782"/>
      <c r="FK47" s="782"/>
      <c r="FL47" s="782"/>
      <c r="FM47" s="782"/>
      <c r="FN47" s="782"/>
      <c r="FO47" s="782"/>
      <c r="FP47" s="782"/>
      <c r="FQ47" s="782"/>
      <c r="FR47" s="782"/>
      <c r="FS47" s="782"/>
      <c r="FT47" s="782"/>
      <c r="FU47" s="782"/>
      <c r="FV47" s="782"/>
      <c r="FW47" s="782"/>
      <c r="FX47" s="782"/>
      <c r="FY47" s="782"/>
      <c r="FZ47" s="782"/>
      <c r="GA47" s="782"/>
      <c r="GB47" s="782"/>
      <c r="GC47" s="782"/>
      <c r="GD47" s="782"/>
      <c r="GE47" s="782"/>
      <c r="GF47" s="782"/>
      <c r="GG47" s="782"/>
      <c r="GH47" s="782"/>
      <c r="GI47" s="782"/>
      <c r="GJ47" s="782"/>
      <c r="GK47" s="782"/>
      <c r="GL47" s="782"/>
      <c r="GM47" s="782"/>
      <c r="GN47" s="782"/>
      <c r="GO47" s="782"/>
      <c r="GP47" s="782"/>
      <c r="GQ47" s="782"/>
      <c r="GR47" s="782"/>
      <c r="GS47" s="782"/>
      <c r="GT47" s="782"/>
      <c r="GU47" s="782"/>
      <c r="GV47" s="782"/>
      <c r="GW47" s="782"/>
      <c r="GX47" s="782"/>
      <c r="GY47" s="782"/>
      <c r="GZ47" s="782"/>
      <c r="HA47" s="782"/>
      <c r="HB47" s="782"/>
      <c r="HC47" s="782"/>
      <c r="HD47" s="782"/>
      <c r="HE47" s="782"/>
      <c r="HF47" s="782"/>
      <c r="HG47" s="782"/>
      <c r="HH47" s="782"/>
      <c r="HI47" s="782"/>
      <c r="HJ47" s="782"/>
      <c r="HK47" s="782"/>
      <c r="HL47" s="782"/>
      <c r="HM47" s="782"/>
      <c r="HN47" s="782"/>
      <c r="HO47" s="782"/>
      <c r="HP47" s="782"/>
      <c r="HQ47" s="782"/>
      <c r="HR47" s="782"/>
      <c r="HS47" s="782"/>
      <c r="HT47" s="782"/>
      <c r="HU47" s="782"/>
      <c r="HV47" s="782"/>
      <c r="HW47" s="782"/>
      <c r="HX47" s="782"/>
      <c r="HY47" s="782"/>
      <c r="HZ47" s="782"/>
      <c r="IA47" s="782"/>
      <c r="IB47" s="782"/>
      <c r="IC47" s="782"/>
      <c r="ID47" s="782"/>
      <c r="IE47" s="782"/>
      <c r="IF47" s="782"/>
      <c r="IG47" s="782"/>
      <c r="IH47" s="782"/>
      <c r="II47" s="782"/>
      <c r="IJ47" s="782"/>
      <c r="IK47" s="782"/>
      <c r="IL47" s="782"/>
      <c r="IM47" s="782"/>
      <c r="IN47" s="782"/>
      <c r="IO47" s="782"/>
      <c r="IP47" s="782"/>
      <c r="IQ47" s="782"/>
      <c r="IR47" s="782"/>
      <c r="IS47" s="782"/>
      <c r="IT47" s="782"/>
      <c r="IU47" s="782"/>
      <c r="IV47" s="782"/>
      <c r="IW47" s="782"/>
      <c r="IX47" s="782"/>
      <c r="IY47" s="782"/>
      <c r="IZ47" s="782"/>
      <c r="JA47" s="782"/>
      <c r="JB47" s="782"/>
      <c r="JC47" s="782"/>
      <c r="JD47" s="782"/>
      <c r="JE47" s="782"/>
      <c r="JF47" s="782"/>
      <c r="JG47" s="782"/>
      <c r="JH47" s="782"/>
      <c r="JI47" s="782"/>
      <c r="JJ47" s="782"/>
      <c r="JK47" s="782"/>
      <c r="JL47" s="782"/>
      <c r="JM47" s="782"/>
      <c r="JN47" s="782"/>
      <c r="JO47" s="782"/>
      <c r="JP47" s="782"/>
      <c r="JQ47" s="782"/>
      <c r="JR47" s="782"/>
      <c r="JS47" s="782"/>
      <c r="JT47" s="782"/>
      <c r="JU47" s="782"/>
      <c r="JV47" s="782"/>
      <c r="JW47" s="782"/>
      <c r="JX47" s="782"/>
      <c r="JY47" s="782"/>
      <c r="JZ47" s="782"/>
      <c r="KA47" s="782"/>
      <c r="KB47" s="782"/>
      <c r="KC47" s="782"/>
      <c r="KD47" s="782"/>
      <c r="KE47" s="782"/>
      <c r="KF47" s="782"/>
      <c r="KG47" s="782"/>
      <c r="KH47" s="782"/>
      <c r="KI47" s="782"/>
      <c r="KJ47" s="782"/>
      <c r="KK47" s="782"/>
      <c r="KL47" s="782"/>
      <c r="KM47" s="782"/>
      <c r="KN47" s="782"/>
      <c r="KO47" s="782"/>
      <c r="KP47" s="782"/>
      <c r="KQ47" s="782"/>
      <c r="KR47" s="782"/>
      <c r="KS47" s="782"/>
      <c r="KT47" s="782"/>
      <c r="KU47" s="782"/>
      <c r="KV47" s="782"/>
      <c r="KW47" s="782"/>
      <c r="KX47" s="782"/>
      <c r="KY47" s="782"/>
      <c r="KZ47" s="782"/>
      <c r="LA47" s="782"/>
      <c r="LB47" s="782"/>
      <c r="LC47" s="782"/>
      <c r="LD47" s="782"/>
      <c r="LE47" s="782"/>
      <c r="LF47" s="782"/>
      <c r="LG47" s="782"/>
      <c r="LH47" s="782"/>
      <c r="LI47" s="782"/>
      <c r="LJ47" s="782"/>
      <c r="LK47" s="782"/>
      <c r="LL47" s="782"/>
      <c r="LM47" s="782"/>
      <c r="LN47" s="782"/>
      <c r="LO47" s="782"/>
      <c r="LP47" s="782"/>
      <c r="LQ47" s="782"/>
      <c r="LR47" s="782"/>
      <c r="LS47" s="782"/>
      <c r="LT47" s="782"/>
      <c r="LU47" s="782"/>
      <c r="LV47" s="782"/>
      <c r="LW47" s="782"/>
      <c r="LX47" s="782"/>
      <c r="LY47" s="782"/>
      <c r="LZ47" s="782"/>
      <c r="MA47" s="782"/>
      <c r="MB47" s="782"/>
      <c r="MC47" s="782"/>
      <c r="MD47" s="782"/>
      <c r="ME47" s="782"/>
      <c r="MF47" s="782"/>
      <c r="MG47" s="782"/>
      <c r="MH47" s="782"/>
      <c r="MI47" s="782"/>
      <c r="MJ47" s="782"/>
      <c r="MK47" s="782"/>
      <c r="ML47" s="782"/>
      <c r="MM47" s="782"/>
      <c r="MN47" s="782"/>
      <c r="MO47" s="782"/>
      <c r="MP47" s="782"/>
      <c r="MQ47" s="782"/>
      <c r="MR47" s="782"/>
      <c r="MS47" s="782"/>
      <c r="MT47" s="782"/>
      <c r="MU47" s="782"/>
      <c r="MV47" s="782"/>
      <c r="MW47" s="782"/>
      <c r="MX47" s="782"/>
      <c r="MY47" s="782"/>
      <c r="MZ47" s="782"/>
      <c r="NA47" s="782"/>
      <c r="NB47" s="782"/>
      <c r="NC47" s="782"/>
      <c r="ND47" s="782"/>
      <c r="NE47" s="782"/>
      <c r="NF47" s="782"/>
      <c r="NG47" s="782"/>
      <c r="NH47" s="782"/>
      <c r="NI47" s="782"/>
      <c r="NJ47" s="782"/>
      <c r="NK47" s="782"/>
      <c r="NL47" s="782"/>
      <c r="NM47" s="782"/>
      <c r="NN47" s="782"/>
      <c r="NO47" s="782"/>
      <c r="NP47" s="782"/>
      <c r="NQ47" s="782"/>
      <c r="NR47" s="782"/>
      <c r="NS47" s="782"/>
      <c r="NT47" s="782"/>
      <c r="NU47" s="782"/>
      <c r="NV47" s="782"/>
      <c r="NW47" s="782"/>
      <c r="NX47" s="782"/>
      <c r="NY47" s="782"/>
      <c r="NZ47" s="782"/>
      <c r="OA47" s="782"/>
      <c r="OB47" s="782"/>
      <c r="OC47" s="782"/>
      <c r="OD47" s="782"/>
      <c r="OE47" s="782"/>
      <c r="OF47" s="782"/>
      <c r="OG47" s="782"/>
      <c r="OH47" s="782"/>
      <c r="OI47" s="782"/>
      <c r="OJ47" s="782"/>
      <c r="OK47" s="782"/>
      <c r="OL47" s="782"/>
      <c r="OM47" s="782"/>
      <c r="ON47" s="782"/>
      <c r="OO47" s="782"/>
      <c r="OP47" s="782"/>
      <c r="OQ47" s="782"/>
      <c r="OR47" s="782"/>
      <c r="OS47" s="782"/>
      <c r="OT47" s="782"/>
      <c r="OU47" s="782"/>
      <c r="OV47" s="782"/>
      <c r="OW47" s="782"/>
      <c r="OX47" s="782"/>
      <c r="OY47" s="782"/>
      <c r="OZ47" s="782"/>
      <c r="PA47" s="782"/>
      <c r="PB47" s="782"/>
      <c r="PC47" s="782"/>
      <c r="PD47" s="782"/>
      <c r="PE47" s="782"/>
      <c r="PF47" s="782"/>
      <c r="PG47" s="782"/>
      <c r="PH47" s="782"/>
      <c r="PI47" s="782"/>
      <c r="PJ47" s="782"/>
      <c r="PK47" s="782"/>
      <c r="PL47" s="782"/>
      <c r="PM47" s="782"/>
      <c r="PN47" s="782"/>
      <c r="PO47" s="782"/>
      <c r="PP47" s="782"/>
      <c r="PQ47" s="782"/>
      <c r="PR47" s="782"/>
      <c r="PS47" s="782"/>
      <c r="PT47" s="782"/>
      <c r="PU47" s="782"/>
      <c r="PV47" s="782"/>
      <c r="PW47" s="782"/>
      <c r="PX47" s="782"/>
      <c r="PY47" s="782"/>
      <c r="PZ47" s="782"/>
      <c r="QA47" s="782"/>
      <c r="QB47" s="782"/>
      <c r="QC47" s="782"/>
      <c r="QD47" s="782"/>
      <c r="QE47" s="782"/>
      <c r="QF47" s="782"/>
      <c r="QG47" s="782"/>
      <c r="QH47" s="782"/>
      <c r="QI47" s="782"/>
      <c r="QJ47" s="782"/>
      <c r="QK47" s="782"/>
      <c r="QL47" s="782"/>
      <c r="QM47" s="782"/>
      <c r="QN47" s="782"/>
      <c r="QO47" s="782"/>
      <c r="QP47" s="782"/>
      <c r="QQ47" s="782"/>
      <c r="QR47" s="782"/>
      <c r="QS47" s="782"/>
      <c r="QT47" s="782"/>
      <c r="QU47" s="782"/>
      <c r="QV47" s="782"/>
      <c r="QW47" s="782"/>
      <c r="QX47" s="782"/>
      <c r="QY47" s="782"/>
      <c r="QZ47" s="782"/>
      <c r="RA47" s="782"/>
      <c r="RB47" s="782"/>
      <c r="RC47" s="782"/>
      <c r="RD47" s="782"/>
      <c r="RE47" s="782"/>
      <c r="RF47" s="782"/>
      <c r="RG47" s="782"/>
      <c r="RH47" s="782"/>
      <c r="RI47" s="782"/>
      <c r="RJ47" s="782"/>
      <c r="RK47" s="782"/>
      <c r="RL47" s="782"/>
      <c r="RM47" s="782"/>
      <c r="RN47" s="782"/>
      <c r="RO47" s="782"/>
      <c r="RP47" s="782"/>
      <c r="RQ47" s="782"/>
      <c r="RR47" s="782"/>
      <c r="RS47" s="782"/>
      <c r="RT47" s="782"/>
      <c r="RU47" s="782"/>
      <c r="RV47" s="782"/>
      <c r="RW47" s="782"/>
      <c r="RX47" s="782"/>
    </row>
    <row r="48" spans="1:492" s="143" customFormat="1">
      <c r="A48" s="782"/>
      <c r="B48" s="782"/>
      <c r="C48" s="782"/>
      <c r="D48" s="782"/>
      <c r="E48" s="782"/>
      <c r="F48" s="782"/>
      <c r="G48" s="782"/>
      <c r="H48" s="782"/>
      <c r="I48" s="782"/>
      <c r="J48" s="782"/>
      <c r="K48" s="782"/>
      <c r="L48" s="782"/>
      <c r="M48" s="782"/>
      <c r="N48" s="782"/>
      <c r="O48" s="782"/>
      <c r="P48" s="782"/>
      <c r="Q48" s="782"/>
      <c r="R48" s="782"/>
      <c r="S48" s="782"/>
      <c r="T48" s="782"/>
      <c r="U48" s="782"/>
      <c r="V48" s="782"/>
      <c r="W48" s="782"/>
      <c r="X48" s="782"/>
      <c r="Y48" s="782"/>
      <c r="Z48" s="782"/>
      <c r="AA48" s="782"/>
      <c r="AB48" s="782"/>
      <c r="AC48" s="782"/>
      <c r="AD48" s="782"/>
      <c r="AE48" s="782"/>
      <c r="AF48" s="782"/>
      <c r="AG48" s="782"/>
      <c r="AH48" s="782"/>
      <c r="AI48" s="782"/>
      <c r="AJ48" s="782"/>
      <c r="AK48" s="782"/>
      <c r="AL48" s="782"/>
      <c r="AM48" s="790"/>
      <c r="AN48" s="790"/>
      <c r="AO48" s="790"/>
      <c r="AP48" s="790"/>
      <c r="AQ48" s="785"/>
      <c r="AR48" s="785"/>
      <c r="AS48" s="785"/>
      <c r="AT48" s="785"/>
      <c r="AU48" s="785"/>
      <c r="AV48" s="785"/>
      <c r="AW48" s="790"/>
      <c r="AX48" s="790"/>
      <c r="AY48" s="790"/>
      <c r="AZ48" s="790"/>
      <c r="BA48" s="785"/>
      <c r="BB48" s="785"/>
      <c r="BC48" s="785"/>
      <c r="BD48" s="151"/>
      <c r="BE48" s="149"/>
      <c r="BF48" s="785"/>
      <c r="BG48" s="785"/>
      <c r="BH48" s="785"/>
      <c r="BI48" s="151"/>
      <c r="BJ48" s="149"/>
      <c r="BK48" s="785"/>
      <c r="BL48" s="785"/>
      <c r="BM48" s="785"/>
      <c r="BN48" s="151"/>
      <c r="BO48" s="149"/>
      <c r="BP48" s="785"/>
      <c r="BQ48" s="785"/>
      <c r="BR48" s="785"/>
      <c r="BS48" s="151"/>
      <c r="BT48" s="149"/>
      <c r="BU48" s="785"/>
      <c r="BV48" s="785"/>
      <c r="BW48" s="785"/>
      <c r="BX48" s="151"/>
      <c r="BY48" s="149"/>
      <c r="BZ48" s="785"/>
      <c r="CA48" s="782"/>
      <c r="CB48" s="782"/>
      <c r="CC48" s="782"/>
      <c r="CD48" s="782"/>
      <c r="CE48" s="782"/>
      <c r="CF48" s="782"/>
      <c r="CG48" s="782"/>
      <c r="CH48" s="782"/>
      <c r="CI48" s="782"/>
      <c r="CJ48" s="782"/>
      <c r="CK48" s="782"/>
      <c r="CL48" s="782"/>
      <c r="CM48" s="782"/>
      <c r="CN48" s="782"/>
      <c r="CO48" s="782"/>
      <c r="CP48" s="782"/>
      <c r="CQ48" s="782"/>
      <c r="CR48" s="782"/>
      <c r="CS48" s="782"/>
      <c r="CT48" s="782"/>
      <c r="CU48" s="782"/>
      <c r="CV48" s="782"/>
      <c r="CW48" s="782"/>
      <c r="CX48" s="782"/>
      <c r="CY48" s="782"/>
      <c r="CZ48" s="782"/>
      <c r="DA48" s="782"/>
      <c r="DB48" s="782"/>
      <c r="DC48" s="782"/>
      <c r="DD48" s="782"/>
      <c r="DE48" s="782"/>
      <c r="DF48" s="782"/>
      <c r="DG48" s="782"/>
      <c r="DH48" s="782"/>
      <c r="DI48" s="782"/>
      <c r="DJ48" s="782"/>
      <c r="DK48" s="782"/>
      <c r="DL48" s="782"/>
      <c r="DM48" s="782"/>
      <c r="DN48" s="782"/>
      <c r="DO48" s="782"/>
      <c r="DP48" s="782"/>
      <c r="DQ48" s="782"/>
      <c r="DR48" s="782"/>
      <c r="DS48" s="782"/>
      <c r="DT48" s="782"/>
      <c r="DU48" s="782"/>
      <c r="DV48" s="782"/>
      <c r="DW48" s="782"/>
      <c r="DX48" s="782"/>
      <c r="DY48" s="782"/>
      <c r="DZ48" s="782"/>
      <c r="EA48" s="782"/>
      <c r="EB48" s="782"/>
      <c r="EC48" s="782"/>
      <c r="ED48" s="782"/>
      <c r="EE48" s="782"/>
      <c r="EF48" s="782"/>
      <c r="EG48" s="782"/>
      <c r="EH48" s="782"/>
      <c r="EI48" s="782"/>
      <c r="EJ48" s="782"/>
      <c r="EK48" s="782"/>
      <c r="EL48" s="782"/>
      <c r="EM48" s="782"/>
      <c r="EN48" s="782"/>
      <c r="EO48" s="782"/>
      <c r="EP48" s="782"/>
      <c r="EQ48" s="782"/>
      <c r="ER48" s="782"/>
      <c r="ES48" s="782"/>
      <c r="ET48" s="782"/>
      <c r="EU48" s="782"/>
      <c r="EV48" s="782"/>
      <c r="EW48" s="782"/>
      <c r="EX48" s="782"/>
      <c r="EY48" s="782"/>
      <c r="EZ48" s="782"/>
      <c r="FA48" s="782"/>
      <c r="FB48" s="782"/>
      <c r="FC48" s="782"/>
      <c r="FD48" s="782"/>
      <c r="FE48" s="782"/>
      <c r="FF48" s="782"/>
      <c r="FG48" s="782"/>
      <c r="FH48" s="782"/>
      <c r="FI48" s="782"/>
      <c r="FJ48" s="782"/>
      <c r="FK48" s="782"/>
      <c r="FL48" s="782"/>
      <c r="FM48" s="782"/>
      <c r="FN48" s="782"/>
      <c r="FO48" s="782"/>
      <c r="FP48" s="782"/>
      <c r="FQ48" s="782"/>
      <c r="FR48" s="782"/>
      <c r="FS48" s="782"/>
      <c r="FT48" s="782"/>
      <c r="FU48" s="782"/>
      <c r="FV48" s="782"/>
      <c r="FW48" s="782"/>
      <c r="FX48" s="782"/>
      <c r="FY48" s="782"/>
      <c r="FZ48" s="782"/>
      <c r="GA48" s="782"/>
      <c r="GB48" s="782"/>
      <c r="GC48" s="782"/>
      <c r="GD48" s="782"/>
      <c r="GE48" s="782"/>
      <c r="GF48" s="782"/>
      <c r="GG48" s="782"/>
      <c r="GH48" s="782"/>
      <c r="GI48" s="782"/>
      <c r="GJ48" s="782"/>
      <c r="GK48" s="782"/>
      <c r="GL48" s="782"/>
      <c r="GM48" s="782"/>
      <c r="GN48" s="782"/>
      <c r="GO48" s="782"/>
      <c r="GP48" s="782"/>
      <c r="GQ48" s="782"/>
      <c r="GR48" s="782"/>
      <c r="GS48" s="782"/>
      <c r="GT48" s="782"/>
      <c r="GU48" s="782"/>
      <c r="GV48" s="782"/>
      <c r="GW48" s="782"/>
      <c r="GX48" s="782"/>
      <c r="GY48" s="782"/>
      <c r="GZ48" s="782"/>
      <c r="HA48" s="782"/>
      <c r="HB48" s="782"/>
      <c r="HC48" s="782"/>
      <c r="HD48" s="782"/>
      <c r="HE48" s="782"/>
      <c r="HF48" s="782"/>
      <c r="HG48" s="782"/>
      <c r="HH48" s="782"/>
      <c r="HI48" s="782"/>
      <c r="HJ48" s="782"/>
      <c r="HK48" s="782"/>
      <c r="HL48" s="782"/>
      <c r="HM48" s="782"/>
      <c r="HN48" s="782"/>
      <c r="HO48" s="782"/>
      <c r="HP48" s="782"/>
      <c r="HQ48" s="782"/>
      <c r="HR48" s="782"/>
      <c r="HS48" s="782"/>
      <c r="HT48" s="782"/>
      <c r="HU48" s="782"/>
      <c r="HV48" s="782"/>
      <c r="HW48" s="782"/>
      <c r="HX48" s="782"/>
      <c r="HY48" s="782"/>
      <c r="HZ48" s="782"/>
      <c r="IA48" s="782"/>
      <c r="IB48" s="782"/>
      <c r="IC48" s="782"/>
      <c r="ID48" s="782"/>
      <c r="IE48" s="782"/>
      <c r="IF48" s="782"/>
      <c r="IG48" s="782"/>
      <c r="IH48" s="782"/>
      <c r="II48" s="782"/>
      <c r="IJ48" s="782"/>
      <c r="IK48" s="782"/>
      <c r="IL48" s="782"/>
      <c r="IM48" s="782"/>
      <c r="IN48" s="782"/>
      <c r="IO48" s="782"/>
      <c r="IP48" s="782"/>
      <c r="IQ48" s="782"/>
      <c r="IR48" s="782"/>
      <c r="IS48" s="782"/>
      <c r="IT48" s="782"/>
      <c r="IU48" s="782"/>
      <c r="IV48" s="782"/>
      <c r="IW48" s="782"/>
      <c r="IX48" s="782"/>
      <c r="IY48" s="782"/>
      <c r="IZ48" s="782"/>
      <c r="JA48" s="782"/>
      <c r="JB48" s="782"/>
      <c r="JC48" s="782"/>
      <c r="JD48" s="782"/>
      <c r="JE48" s="782"/>
      <c r="JF48" s="782"/>
      <c r="JG48" s="782"/>
      <c r="JH48" s="782"/>
      <c r="JI48" s="782"/>
      <c r="JJ48" s="782"/>
      <c r="JK48" s="782"/>
      <c r="JL48" s="782"/>
      <c r="JM48" s="782"/>
      <c r="JN48" s="782"/>
      <c r="JO48" s="782"/>
      <c r="JP48" s="782"/>
      <c r="JQ48" s="782"/>
      <c r="JR48" s="782"/>
      <c r="JS48" s="782"/>
      <c r="JT48" s="782"/>
      <c r="JU48" s="782"/>
      <c r="JV48" s="782"/>
      <c r="JW48" s="782"/>
      <c r="JX48" s="782"/>
      <c r="JY48" s="782"/>
      <c r="JZ48" s="782"/>
      <c r="KA48" s="782"/>
      <c r="KB48" s="782"/>
      <c r="KC48" s="782"/>
      <c r="KD48" s="782"/>
      <c r="KE48" s="782"/>
      <c r="KF48" s="782"/>
      <c r="KG48" s="782"/>
      <c r="KH48" s="782"/>
      <c r="KI48" s="782"/>
      <c r="KJ48" s="782"/>
      <c r="KK48" s="782"/>
      <c r="KL48" s="782"/>
      <c r="KM48" s="782"/>
      <c r="KN48" s="782"/>
      <c r="KO48" s="782"/>
      <c r="KP48" s="782"/>
      <c r="KQ48" s="782"/>
      <c r="KR48" s="782"/>
      <c r="KS48" s="782"/>
      <c r="KT48" s="782"/>
      <c r="KU48" s="782"/>
      <c r="KV48" s="782"/>
      <c r="KW48" s="782"/>
      <c r="KX48" s="782"/>
      <c r="KY48" s="782"/>
      <c r="KZ48" s="782"/>
      <c r="LA48" s="782"/>
      <c r="LB48" s="782"/>
      <c r="LC48" s="782"/>
      <c r="LD48" s="782"/>
      <c r="LE48" s="782"/>
      <c r="LF48" s="782"/>
      <c r="LG48" s="782"/>
      <c r="LH48" s="782"/>
      <c r="LI48" s="782"/>
      <c r="LJ48" s="782"/>
      <c r="LK48" s="782"/>
      <c r="LL48" s="782"/>
      <c r="LM48" s="782"/>
      <c r="LN48" s="782"/>
      <c r="LO48" s="782"/>
      <c r="LP48" s="782"/>
      <c r="LQ48" s="782"/>
      <c r="LR48" s="782"/>
      <c r="LS48" s="782"/>
      <c r="LT48" s="782"/>
      <c r="LU48" s="782"/>
      <c r="LV48" s="782"/>
      <c r="LW48" s="782"/>
      <c r="LX48" s="782"/>
      <c r="LY48" s="782"/>
      <c r="LZ48" s="782"/>
      <c r="MA48" s="782"/>
      <c r="MB48" s="782"/>
      <c r="MC48" s="782"/>
      <c r="MD48" s="782"/>
      <c r="ME48" s="782"/>
      <c r="MF48" s="782"/>
      <c r="MG48" s="782"/>
      <c r="MH48" s="782"/>
      <c r="MI48" s="782"/>
      <c r="MJ48" s="782"/>
      <c r="MK48" s="782"/>
      <c r="ML48" s="782"/>
      <c r="MM48" s="782"/>
      <c r="MN48" s="782"/>
      <c r="MO48" s="782"/>
      <c r="MP48" s="782"/>
      <c r="MQ48" s="782"/>
      <c r="MR48" s="782"/>
      <c r="MS48" s="782"/>
      <c r="MT48" s="782"/>
      <c r="MU48" s="782"/>
      <c r="MV48" s="782"/>
      <c r="MW48" s="782"/>
      <c r="MX48" s="782"/>
      <c r="MY48" s="782"/>
      <c r="MZ48" s="782"/>
      <c r="NA48" s="782"/>
      <c r="NB48" s="782"/>
      <c r="NC48" s="782"/>
      <c r="ND48" s="782"/>
      <c r="NE48" s="782"/>
      <c r="NF48" s="782"/>
      <c r="NG48" s="782"/>
      <c r="NH48" s="782"/>
      <c r="NI48" s="782"/>
      <c r="NJ48" s="782"/>
      <c r="NK48" s="782"/>
      <c r="NL48" s="782"/>
      <c r="NM48" s="782"/>
      <c r="NN48" s="782"/>
      <c r="NO48" s="782"/>
      <c r="NP48" s="782"/>
      <c r="NQ48" s="782"/>
      <c r="NR48" s="782"/>
      <c r="NS48" s="782"/>
      <c r="NT48" s="782"/>
      <c r="NU48" s="782"/>
      <c r="NV48" s="782"/>
      <c r="NW48" s="782"/>
      <c r="NX48" s="782"/>
      <c r="NY48" s="782"/>
      <c r="NZ48" s="782"/>
      <c r="OA48" s="782"/>
      <c r="OB48" s="782"/>
      <c r="OC48" s="782"/>
      <c r="OD48" s="782"/>
      <c r="OE48" s="782"/>
      <c r="OF48" s="782"/>
      <c r="OG48" s="782"/>
      <c r="OH48" s="782"/>
      <c r="OI48" s="782"/>
      <c r="OJ48" s="782"/>
      <c r="OK48" s="782"/>
      <c r="OL48" s="782"/>
      <c r="OM48" s="782"/>
      <c r="ON48" s="782"/>
      <c r="OO48" s="782"/>
      <c r="OP48" s="782"/>
      <c r="OQ48" s="782"/>
      <c r="OR48" s="782"/>
      <c r="OS48" s="782"/>
      <c r="OT48" s="782"/>
      <c r="OU48" s="782"/>
      <c r="OV48" s="782"/>
      <c r="OW48" s="782"/>
      <c r="OX48" s="782"/>
      <c r="OY48" s="782"/>
      <c r="OZ48" s="782"/>
      <c r="PA48" s="782"/>
      <c r="PB48" s="782"/>
      <c r="PC48" s="782"/>
      <c r="PD48" s="782"/>
      <c r="PE48" s="782"/>
      <c r="PF48" s="782"/>
      <c r="PG48" s="782"/>
      <c r="PH48" s="782"/>
      <c r="PI48" s="782"/>
      <c r="PJ48" s="782"/>
      <c r="PK48" s="782"/>
      <c r="PL48" s="782"/>
      <c r="PM48" s="782"/>
      <c r="PN48" s="782"/>
      <c r="PO48" s="782"/>
      <c r="PP48" s="782"/>
      <c r="PQ48" s="782"/>
      <c r="PR48" s="782"/>
      <c r="PS48" s="782"/>
      <c r="PT48" s="782"/>
      <c r="PU48" s="782"/>
      <c r="PV48" s="782"/>
      <c r="PW48" s="782"/>
      <c r="PX48" s="782"/>
      <c r="PY48" s="782"/>
      <c r="PZ48" s="782"/>
      <c r="QA48" s="782"/>
      <c r="QB48" s="782"/>
      <c r="QC48" s="782"/>
      <c r="QD48" s="782"/>
      <c r="QE48" s="782"/>
      <c r="QF48" s="782"/>
      <c r="QG48" s="782"/>
      <c r="QH48" s="782"/>
      <c r="QI48" s="782"/>
      <c r="QJ48" s="782"/>
      <c r="QK48" s="782"/>
      <c r="QL48" s="782"/>
      <c r="QM48" s="782"/>
      <c r="QN48" s="782"/>
      <c r="QO48" s="782"/>
      <c r="QP48" s="782"/>
      <c r="QQ48" s="782"/>
      <c r="QR48" s="782"/>
      <c r="QS48" s="782"/>
      <c r="QT48" s="782"/>
      <c r="QU48" s="782"/>
      <c r="QV48" s="782"/>
      <c r="QW48" s="782"/>
      <c r="QX48" s="782"/>
      <c r="QY48" s="782"/>
      <c r="QZ48" s="782"/>
      <c r="RA48" s="782"/>
      <c r="RB48" s="782"/>
      <c r="RC48" s="782"/>
      <c r="RD48" s="782"/>
      <c r="RE48" s="782"/>
      <c r="RF48" s="782"/>
      <c r="RG48" s="782"/>
      <c r="RH48" s="782"/>
      <c r="RI48" s="782"/>
      <c r="RJ48" s="782"/>
      <c r="RK48" s="782"/>
      <c r="RL48" s="782"/>
      <c r="RM48" s="782"/>
      <c r="RN48" s="782"/>
      <c r="RO48" s="782"/>
      <c r="RP48" s="782"/>
      <c r="RQ48" s="782"/>
      <c r="RR48" s="782"/>
      <c r="RS48" s="782"/>
      <c r="RT48" s="782"/>
      <c r="RU48" s="782"/>
      <c r="RV48" s="782"/>
      <c r="RW48" s="782"/>
      <c r="RX48" s="782"/>
    </row>
    <row r="49" spans="1:492" s="143" customFormat="1">
      <c r="A49" s="782"/>
      <c r="B49" s="782"/>
      <c r="C49" s="782"/>
      <c r="D49" s="782"/>
      <c r="E49" s="782"/>
      <c r="F49" s="782"/>
      <c r="G49" s="782"/>
      <c r="H49" s="782"/>
      <c r="I49" s="782"/>
      <c r="J49" s="782"/>
      <c r="K49" s="782"/>
      <c r="L49" s="782"/>
      <c r="M49" s="782"/>
      <c r="N49" s="782"/>
      <c r="O49" s="782"/>
      <c r="P49" s="782"/>
      <c r="Q49" s="782"/>
      <c r="R49" s="782"/>
      <c r="S49" s="782"/>
      <c r="T49" s="782"/>
      <c r="U49" s="782"/>
      <c r="V49" s="782"/>
      <c r="W49" s="782"/>
      <c r="X49" s="782"/>
      <c r="Y49" s="782"/>
      <c r="Z49" s="782"/>
      <c r="AA49" s="782"/>
      <c r="AB49" s="782"/>
      <c r="AC49" s="782"/>
      <c r="AD49" s="782"/>
      <c r="AE49" s="782"/>
      <c r="AF49" s="782"/>
      <c r="AG49" s="782"/>
      <c r="AH49" s="782"/>
      <c r="AI49" s="782"/>
      <c r="AJ49" s="782"/>
      <c r="AK49" s="782"/>
      <c r="AL49" s="782"/>
      <c r="AM49" s="785"/>
      <c r="AN49" s="785"/>
      <c r="AO49" s="785"/>
      <c r="AP49" s="785"/>
      <c r="AQ49" s="785"/>
      <c r="AR49" s="785"/>
      <c r="AS49" s="785"/>
      <c r="AT49" s="785"/>
      <c r="AU49" s="785"/>
      <c r="AV49" s="785"/>
      <c r="AW49" s="785"/>
      <c r="AX49" s="785"/>
      <c r="AY49" s="785"/>
      <c r="AZ49" s="785"/>
      <c r="BA49" s="785"/>
      <c r="BB49" s="785"/>
      <c r="BC49" s="785"/>
      <c r="BD49" s="785"/>
      <c r="BE49" s="785"/>
      <c r="BF49" s="785"/>
      <c r="BG49" s="785"/>
      <c r="BH49" s="785"/>
      <c r="BI49" s="785"/>
      <c r="BJ49" s="785"/>
      <c r="BK49" s="785"/>
      <c r="BL49" s="785"/>
      <c r="BM49" s="785"/>
      <c r="BN49" s="785"/>
      <c r="BO49" s="785"/>
      <c r="BP49" s="785"/>
      <c r="BQ49" s="785"/>
      <c r="BR49" s="785"/>
      <c r="BS49" s="785"/>
      <c r="BT49" s="785"/>
      <c r="BU49" s="785"/>
      <c r="BV49" s="785"/>
      <c r="BW49" s="785"/>
      <c r="BX49" s="785"/>
      <c r="BY49" s="785"/>
      <c r="BZ49" s="785"/>
      <c r="CA49" s="782"/>
      <c r="CB49" s="782"/>
      <c r="CC49" s="782"/>
      <c r="CD49" s="782"/>
      <c r="CE49" s="782"/>
      <c r="CF49" s="782"/>
      <c r="CG49" s="782"/>
      <c r="CH49" s="782"/>
      <c r="CI49" s="782"/>
      <c r="CJ49" s="782"/>
      <c r="CK49" s="782"/>
      <c r="CL49" s="782"/>
      <c r="CM49" s="782"/>
      <c r="CN49" s="782"/>
      <c r="CO49" s="782"/>
      <c r="CP49" s="782"/>
      <c r="CQ49" s="782"/>
      <c r="CR49" s="782"/>
      <c r="CS49" s="782"/>
      <c r="CT49" s="782"/>
      <c r="CU49" s="782"/>
      <c r="CV49" s="782"/>
      <c r="CW49" s="782"/>
      <c r="CX49" s="782"/>
      <c r="CY49" s="782"/>
      <c r="CZ49" s="782"/>
      <c r="DA49" s="782"/>
      <c r="DB49" s="782"/>
      <c r="DC49" s="782"/>
      <c r="DD49" s="782"/>
      <c r="DE49" s="782"/>
      <c r="DF49" s="782"/>
      <c r="DG49" s="782"/>
      <c r="DH49" s="782"/>
      <c r="DI49" s="782"/>
      <c r="DJ49" s="782"/>
      <c r="DK49" s="782"/>
      <c r="DL49" s="782"/>
      <c r="DM49" s="782"/>
      <c r="DN49" s="782"/>
      <c r="DO49" s="782"/>
      <c r="DP49" s="782"/>
      <c r="DQ49" s="782"/>
      <c r="DR49" s="782"/>
      <c r="DS49" s="782"/>
      <c r="DT49" s="782"/>
      <c r="DU49" s="782"/>
      <c r="DV49" s="782"/>
      <c r="DW49" s="782"/>
      <c r="DX49" s="782"/>
      <c r="DY49" s="782"/>
      <c r="DZ49" s="782"/>
      <c r="EA49" s="782"/>
      <c r="EB49" s="782"/>
      <c r="EC49" s="782"/>
      <c r="ED49" s="782"/>
      <c r="EE49" s="782"/>
      <c r="EF49" s="782"/>
      <c r="EG49" s="782"/>
      <c r="EH49" s="782"/>
      <c r="EI49" s="782"/>
      <c r="EJ49" s="782"/>
      <c r="EK49" s="782"/>
      <c r="EL49" s="782"/>
      <c r="EM49" s="782"/>
      <c r="EN49" s="782"/>
      <c r="EO49" s="782"/>
      <c r="EP49" s="782"/>
      <c r="EQ49" s="782"/>
      <c r="ER49" s="782"/>
      <c r="ES49" s="782"/>
      <c r="ET49" s="782"/>
      <c r="EU49" s="782"/>
      <c r="EV49" s="782"/>
      <c r="EW49" s="782"/>
      <c r="EX49" s="782"/>
      <c r="EY49" s="782"/>
      <c r="EZ49" s="782"/>
      <c r="FA49" s="782"/>
      <c r="FB49" s="782"/>
      <c r="FC49" s="782"/>
      <c r="FD49" s="782"/>
      <c r="FE49" s="782"/>
      <c r="FF49" s="782"/>
      <c r="FG49" s="782"/>
      <c r="FH49" s="782"/>
      <c r="FI49" s="782"/>
      <c r="FJ49" s="782"/>
      <c r="FK49" s="782"/>
      <c r="FL49" s="782"/>
      <c r="FM49" s="782"/>
      <c r="FN49" s="782"/>
      <c r="FO49" s="782"/>
      <c r="FP49" s="782"/>
      <c r="FQ49" s="782"/>
      <c r="FR49" s="782"/>
      <c r="FS49" s="782"/>
      <c r="FT49" s="782"/>
      <c r="FU49" s="782"/>
      <c r="FV49" s="782"/>
      <c r="FW49" s="782"/>
      <c r="FX49" s="782"/>
      <c r="FY49" s="782"/>
      <c r="FZ49" s="782"/>
      <c r="GA49" s="782"/>
      <c r="GB49" s="782"/>
      <c r="GC49" s="782"/>
      <c r="GD49" s="782"/>
      <c r="GE49" s="782"/>
      <c r="GF49" s="782"/>
      <c r="GG49" s="782"/>
      <c r="GH49" s="782"/>
      <c r="GI49" s="782"/>
      <c r="GJ49" s="782"/>
      <c r="GK49" s="782"/>
      <c r="GL49" s="782"/>
      <c r="GM49" s="782"/>
      <c r="GN49" s="782"/>
      <c r="GO49" s="782"/>
      <c r="GP49" s="782"/>
      <c r="GQ49" s="782"/>
      <c r="GR49" s="782"/>
      <c r="GS49" s="782"/>
      <c r="GT49" s="782"/>
      <c r="GU49" s="782"/>
      <c r="GV49" s="782"/>
      <c r="GW49" s="782"/>
      <c r="GX49" s="782"/>
      <c r="GY49" s="782"/>
      <c r="GZ49" s="782"/>
      <c r="HA49" s="782"/>
      <c r="HB49" s="782"/>
      <c r="HC49" s="782"/>
      <c r="HD49" s="782"/>
      <c r="HE49" s="782"/>
      <c r="HF49" s="782"/>
      <c r="HG49" s="782"/>
      <c r="HH49" s="782"/>
      <c r="HI49" s="782"/>
      <c r="HJ49" s="782"/>
      <c r="HK49" s="782"/>
      <c r="HL49" s="782"/>
      <c r="HM49" s="782"/>
      <c r="HN49" s="782"/>
      <c r="HO49" s="782"/>
      <c r="HP49" s="782"/>
      <c r="HQ49" s="782"/>
      <c r="HR49" s="782"/>
      <c r="HS49" s="782"/>
      <c r="HT49" s="782"/>
      <c r="HU49" s="782"/>
      <c r="HV49" s="782"/>
      <c r="HW49" s="782"/>
      <c r="HX49" s="782"/>
      <c r="HY49" s="782"/>
      <c r="HZ49" s="782"/>
      <c r="IA49" s="782"/>
      <c r="IB49" s="782"/>
      <c r="IC49" s="782"/>
      <c r="ID49" s="782"/>
      <c r="IE49" s="782"/>
      <c r="IF49" s="782"/>
      <c r="IG49" s="782"/>
      <c r="IH49" s="782"/>
      <c r="II49" s="782"/>
      <c r="IJ49" s="782"/>
      <c r="IK49" s="782"/>
      <c r="IL49" s="782"/>
      <c r="IM49" s="782"/>
      <c r="IN49" s="782"/>
      <c r="IO49" s="782"/>
      <c r="IP49" s="782"/>
      <c r="IQ49" s="782"/>
      <c r="IR49" s="782"/>
      <c r="IS49" s="782"/>
      <c r="IT49" s="782"/>
      <c r="IU49" s="782"/>
      <c r="IV49" s="782"/>
      <c r="IW49" s="782"/>
      <c r="IX49" s="782"/>
      <c r="IY49" s="782"/>
      <c r="IZ49" s="782"/>
      <c r="JA49" s="782"/>
      <c r="JB49" s="782"/>
      <c r="JC49" s="782"/>
      <c r="JD49" s="782"/>
      <c r="JE49" s="782"/>
      <c r="JF49" s="782"/>
      <c r="JG49" s="782"/>
      <c r="JH49" s="782"/>
      <c r="JI49" s="782"/>
      <c r="JJ49" s="782"/>
      <c r="JK49" s="782"/>
      <c r="JL49" s="782"/>
      <c r="JM49" s="782"/>
      <c r="JN49" s="782"/>
      <c r="JO49" s="782"/>
      <c r="JP49" s="782"/>
      <c r="JQ49" s="782"/>
      <c r="JR49" s="782"/>
      <c r="JS49" s="782"/>
      <c r="JT49" s="782"/>
      <c r="JU49" s="782"/>
      <c r="JV49" s="782"/>
      <c r="JW49" s="782"/>
      <c r="JX49" s="782"/>
      <c r="JY49" s="782"/>
      <c r="JZ49" s="782"/>
      <c r="KA49" s="782"/>
      <c r="KB49" s="782"/>
      <c r="KC49" s="782"/>
      <c r="KD49" s="782"/>
      <c r="KE49" s="782"/>
      <c r="KF49" s="782"/>
      <c r="KG49" s="782"/>
      <c r="KH49" s="782"/>
      <c r="KI49" s="782"/>
      <c r="KJ49" s="782"/>
      <c r="KK49" s="782"/>
      <c r="KL49" s="782"/>
      <c r="KM49" s="782"/>
      <c r="KN49" s="782"/>
      <c r="KO49" s="782"/>
      <c r="KP49" s="782"/>
      <c r="KQ49" s="782"/>
      <c r="KR49" s="782"/>
      <c r="KS49" s="782"/>
      <c r="KT49" s="782"/>
      <c r="KU49" s="782"/>
      <c r="KV49" s="782"/>
      <c r="KW49" s="782"/>
      <c r="KX49" s="782"/>
      <c r="KY49" s="782"/>
      <c r="KZ49" s="782"/>
      <c r="LA49" s="782"/>
      <c r="LB49" s="782"/>
      <c r="LC49" s="782"/>
      <c r="LD49" s="782"/>
      <c r="LE49" s="782"/>
      <c r="LF49" s="782"/>
      <c r="LG49" s="782"/>
      <c r="LH49" s="782"/>
      <c r="LI49" s="782"/>
      <c r="LJ49" s="782"/>
      <c r="LK49" s="782"/>
      <c r="LL49" s="782"/>
      <c r="LM49" s="782"/>
      <c r="LN49" s="782"/>
      <c r="LO49" s="782"/>
      <c r="LP49" s="782"/>
      <c r="LQ49" s="782"/>
      <c r="LR49" s="782"/>
      <c r="LS49" s="782"/>
      <c r="LT49" s="782"/>
      <c r="LU49" s="782"/>
      <c r="LV49" s="782"/>
      <c r="LW49" s="782"/>
      <c r="LX49" s="782"/>
      <c r="LY49" s="782"/>
      <c r="LZ49" s="782"/>
      <c r="MA49" s="782"/>
      <c r="MB49" s="782"/>
      <c r="MC49" s="782"/>
      <c r="MD49" s="782"/>
      <c r="ME49" s="782"/>
      <c r="MF49" s="782"/>
      <c r="MG49" s="782"/>
      <c r="MH49" s="782"/>
      <c r="MI49" s="782"/>
      <c r="MJ49" s="782"/>
      <c r="MK49" s="782"/>
      <c r="ML49" s="782"/>
      <c r="MM49" s="782"/>
      <c r="MN49" s="782"/>
      <c r="MO49" s="782"/>
      <c r="MP49" s="782"/>
      <c r="MQ49" s="782"/>
      <c r="MR49" s="782"/>
      <c r="MS49" s="782"/>
      <c r="MT49" s="782"/>
      <c r="MU49" s="782"/>
      <c r="MV49" s="782"/>
      <c r="MW49" s="782"/>
      <c r="MX49" s="782"/>
      <c r="MY49" s="782"/>
      <c r="MZ49" s="782"/>
      <c r="NA49" s="782"/>
      <c r="NB49" s="782"/>
      <c r="NC49" s="782"/>
      <c r="ND49" s="782"/>
      <c r="NE49" s="782"/>
      <c r="NF49" s="782"/>
      <c r="NG49" s="782"/>
      <c r="NH49" s="782"/>
      <c r="NI49" s="782"/>
      <c r="NJ49" s="782"/>
      <c r="NK49" s="782"/>
      <c r="NL49" s="782"/>
      <c r="NM49" s="782"/>
      <c r="NN49" s="782"/>
      <c r="NO49" s="782"/>
      <c r="NP49" s="782"/>
      <c r="NQ49" s="782"/>
      <c r="NR49" s="782"/>
      <c r="NS49" s="782"/>
      <c r="NT49" s="782"/>
      <c r="NU49" s="782"/>
      <c r="NV49" s="782"/>
      <c r="NW49" s="782"/>
      <c r="NX49" s="782"/>
      <c r="NY49" s="782"/>
      <c r="NZ49" s="782"/>
      <c r="OA49" s="782"/>
      <c r="OB49" s="782"/>
      <c r="OC49" s="782"/>
      <c r="OD49" s="782"/>
      <c r="OE49" s="782"/>
      <c r="OF49" s="782"/>
      <c r="OG49" s="782"/>
      <c r="OH49" s="782"/>
      <c r="OI49" s="782"/>
      <c r="OJ49" s="782"/>
      <c r="OK49" s="782"/>
      <c r="OL49" s="782"/>
      <c r="OM49" s="782"/>
      <c r="ON49" s="782"/>
      <c r="OO49" s="782"/>
      <c r="OP49" s="782"/>
      <c r="OQ49" s="782"/>
      <c r="OR49" s="782"/>
      <c r="OS49" s="782"/>
      <c r="OT49" s="782"/>
      <c r="OU49" s="782"/>
      <c r="OV49" s="782"/>
      <c r="OW49" s="782"/>
      <c r="OX49" s="782"/>
      <c r="OY49" s="782"/>
      <c r="OZ49" s="782"/>
      <c r="PA49" s="782"/>
      <c r="PB49" s="782"/>
      <c r="PC49" s="782"/>
      <c r="PD49" s="782"/>
      <c r="PE49" s="782"/>
      <c r="PF49" s="782"/>
      <c r="PG49" s="782"/>
      <c r="PH49" s="782"/>
      <c r="PI49" s="782"/>
      <c r="PJ49" s="782"/>
      <c r="PK49" s="782"/>
      <c r="PL49" s="782"/>
      <c r="PM49" s="782"/>
      <c r="PN49" s="782"/>
      <c r="PO49" s="782"/>
      <c r="PP49" s="782"/>
      <c r="PQ49" s="782"/>
      <c r="PR49" s="782"/>
      <c r="PS49" s="782"/>
      <c r="PT49" s="782"/>
      <c r="PU49" s="782"/>
      <c r="PV49" s="782"/>
      <c r="PW49" s="782"/>
      <c r="PX49" s="782"/>
      <c r="PY49" s="782"/>
      <c r="PZ49" s="782"/>
      <c r="QA49" s="782"/>
      <c r="QB49" s="782"/>
      <c r="QC49" s="782"/>
      <c r="QD49" s="782"/>
      <c r="QE49" s="782"/>
      <c r="QF49" s="782"/>
      <c r="QG49" s="782"/>
      <c r="QH49" s="782"/>
      <c r="QI49" s="782"/>
      <c r="QJ49" s="782"/>
      <c r="QK49" s="782"/>
      <c r="QL49" s="782"/>
      <c r="QM49" s="782"/>
      <c r="QN49" s="782"/>
      <c r="QO49" s="782"/>
      <c r="QP49" s="782"/>
      <c r="QQ49" s="782"/>
      <c r="QR49" s="782"/>
      <c r="QS49" s="782"/>
      <c r="QT49" s="782"/>
      <c r="QU49" s="782"/>
      <c r="QV49" s="782"/>
      <c r="QW49" s="782"/>
      <c r="QX49" s="782"/>
      <c r="QY49" s="782"/>
      <c r="QZ49" s="782"/>
      <c r="RA49" s="782"/>
      <c r="RB49" s="782"/>
      <c r="RC49" s="782"/>
      <c r="RD49" s="782"/>
      <c r="RE49" s="782"/>
      <c r="RF49" s="782"/>
      <c r="RG49" s="782"/>
      <c r="RH49" s="782"/>
      <c r="RI49" s="782"/>
      <c r="RJ49" s="782"/>
      <c r="RK49" s="782"/>
      <c r="RL49" s="782"/>
      <c r="RM49" s="782"/>
      <c r="RN49" s="782"/>
      <c r="RO49" s="782"/>
      <c r="RP49" s="782"/>
      <c r="RQ49" s="782"/>
      <c r="RR49" s="782"/>
      <c r="RS49" s="782"/>
      <c r="RT49" s="782"/>
      <c r="RU49" s="782"/>
      <c r="RV49" s="782"/>
      <c r="RW49" s="782"/>
      <c r="RX49" s="782"/>
    </row>
    <row r="50" spans="1:492" s="143" customFormat="1">
      <c r="A50" s="782"/>
      <c r="B50" s="782"/>
      <c r="C50" s="782"/>
      <c r="D50" s="782"/>
      <c r="E50" s="782"/>
      <c r="F50" s="782"/>
      <c r="G50" s="782"/>
      <c r="H50" s="782"/>
      <c r="I50" s="782"/>
      <c r="J50" s="782"/>
      <c r="K50" s="782"/>
      <c r="L50" s="782"/>
      <c r="M50" s="782"/>
      <c r="N50" s="782"/>
      <c r="O50" s="782"/>
      <c r="P50" s="782"/>
      <c r="Q50" s="782"/>
      <c r="R50" s="782"/>
      <c r="S50" s="782"/>
      <c r="T50" s="782"/>
      <c r="U50" s="782"/>
      <c r="V50" s="782"/>
      <c r="W50" s="782"/>
      <c r="X50" s="782"/>
      <c r="Y50" s="782"/>
      <c r="Z50" s="782"/>
      <c r="AA50" s="782"/>
      <c r="AB50" s="782"/>
      <c r="AC50" s="782"/>
      <c r="AD50" s="782"/>
      <c r="AE50" s="782"/>
      <c r="AF50" s="782"/>
      <c r="AG50" s="782"/>
      <c r="AH50" s="782"/>
      <c r="AI50" s="782"/>
      <c r="AJ50" s="782"/>
      <c r="AK50" s="782"/>
      <c r="AL50" s="782"/>
      <c r="AM50" s="785"/>
      <c r="AN50" s="785"/>
      <c r="AO50" s="785"/>
      <c r="AP50" s="785"/>
      <c r="AQ50" s="785"/>
      <c r="AR50" s="785"/>
      <c r="AS50" s="785"/>
      <c r="AT50" s="785"/>
      <c r="AU50" s="785"/>
      <c r="AV50" s="785"/>
      <c r="AW50" s="785"/>
      <c r="AX50" s="785"/>
      <c r="AY50" s="785"/>
      <c r="AZ50" s="785"/>
      <c r="BA50" s="785"/>
      <c r="BB50" s="785"/>
      <c r="BC50" s="785"/>
      <c r="BD50" s="785"/>
      <c r="BE50" s="785"/>
      <c r="BF50" s="785"/>
      <c r="BG50" s="785"/>
      <c r="BH50" s="785"/>
      <c r="BI50" s="785"/>
      <c r="BJ50" s="785"/>
      <c r="BK50" s="785"/>
      <c r="BL50" s="785"/>
      <c r="BM50" s="785"/>
      <c r="BN50" s="785"/>
      <c r="BO50" s="785"/>
      <c r="BP50" s="785"/>
      <c r="BQ50" s="785"/>
      <c r="BR50" s="785"/>
      <c r="BS50" s="785"/>
      <c r="BT50" s="785"/>
      <c r="BU50" s="785"/>
      <c r="BV50" s="785"/>
      <c r="BW50" s="785"/>
      <c r="BX50" s="785"/>
      <c r="BY50" s="785"/>
      <c r="BZ50" s="785"/>
      <c r="CA50" s="782"/>
      <c r="CB50" s="782"/>
      <c r="CC50" s="782"/>
      <c r="CD50" s="782"/>
      <c r="CE50" s="782"/>
      <c r="CF50" s="782"/>
      <c r="CG50" s="782"/>
      <c r="CH50" s="782"/>
      <c r="CI50" s="782"/>
      <c r="CJ50" s="782"/>
      <c r="CK50" s="782"/>
      <c r="CL50" s="782"/>
      <c r="CM50" s="782"/>
      <c r="CN50" s="782"/>
      <c r="CO50" s="782"/>
      <c r="CP50" s="782"/>
      <c r="CQ50" s="782"/>
      <c r="CR50" s="782"/>
      <c r="CS50" s="782"/>
      <c r="CT50" s="782"/>
      <c r="CU50" s="782"/>
      <c r="CV50" s="782"/>
      <c r="CW50" s="782"/>
      <c r="CX50" s="782"/>
      <c r="CY50" s="782"/>
      <c r="CZ50" s="782"/>
      <c r="DA50" s="782"/>
      <c r="DB50" s="782"/>
      <c r="DC50" s="782"/>
      <c r="DD50" s="782"/>
      <c r="DE50" s="782"/>
      <c r="DF50" s="782"/>
      <c r="DG50" s="782"/>
      <c r="DH50" s="782"/>
      <c r="DI50" s="782"/>
      <c r="DJ50" s="782"/>
      <c r="DK50" s="782"/>
      <c r="DL50" s="782"/>
      <c r="DM50" s="782"/>
      <c r="DN50" s="782"/>
      <c r="DO50" s="782"/>
      <c r="DP50" s="782"/>
      <c r="DQ50" s="782"/>
      <c r="DR50" s="782"/>
      <c r="DS50" s="782"/>
      <c r="DT50" s="782"/>
      <c r="DU50" s="782"/>
      <c r="DV50" s="782"/>
      <c r="DW50" s="782"/>
      <c r="DX50" s="782"/>
      <c r="DY50" s="782"/>
      <c r="DZ50" s="782"/>
      <c r="EA50" s="782"/>
      <c r="EB50" s="782"/>
      <c r="EC50" s="782"/>
      <c r="ED50" s="782"/>
      <c r="EE50" s="782"/>
      <c r="EF50" s="782"/>
      <c r="EG50" s="782"/>
      <c r="EH50" s="782"/>
      <c r="EI50" s="782"/>
      <c r="EJ50" s="782"/>
      <c r="EK50" s="782"/>
      <c r="EL50" s="782"/>
      <c r="EM50" s="782"/>
      <c r="EN50" s="782"/>
      <c r="EO50" s="782"/>
      <c r="EP50" s="782"/>
      <c r="EQ50" s="782"/>
      <c r="ER50" s="782"/>
      <c r="ES50" s="782"/>
      <c r="ET50" s="782"/>
      <c r="EU50" s="782"/>
      <c r="EV50" s="782"/>
      <c r="EW50" s="782"/>
      <c r="EX50" s="782"/>
      <c r="EY50" s="782"/>
      <c r="EZ50" s="782"/>
      <c r="FA50" s="782"/>
      <c r="FB50" s="782"/>
      <c r="FC50" s="782"/>
      <c r="FD50" s="782"/>
      <c r="FE50" s="782"/>
      <c r="FF50" s="782"/>
      <c r="FG50" s="782"/>
      <c r="FH50" s="782"/>
      <c r="FI50" s="782"/>
      <c r="FJ50" s="782"/>
      <c r="FK50" s="782"/>
      <c r="FL50" s="782"/>
      <c r="FM50" s="782"/>
      <c r="FN50" s="782"/>
      <c r="FO50" s="782"/>
      <c r="FP50" s="782"/>
      <c r="FQ50" s="782"/>
      <c r="FR50" s="782"/>
      <c r="FS50" s="782"/>
      <c r="FT50" s="782"/>
      <c r="FU50" s="782"/>
      <c r="FV50" s="782"/>
      <c r="FW50" s="782"/>
      <c r="FX50" s="782"/>
      <c r="FY50" s="782"/>
      <c r="FZ50" s="782"/>
      <c r="GA50" s="782"/>
      <c r="GB50" s="782"/>
      <c r="GC50" s="782"/>
      <c r="GD50" s="782"/>
      <c r="GE50" s="782"/>
      <c r="GF50" s="782"/>
      <c r="GG50" s="782"/>
      <c r="GH50" s="782"/>
      <c r="GI50" s="782"/>
      <c r="GJ50" s="782"/>
      <c r="GK50" s="782"/>
      <c r="GL50" s="782"/>
      <c r="GM50" s="782"/>
      <c r="GN50" s="782"/>
      <c r="GO50" s="782"/>
      <c r="GP50" s="782"/>
      <c r="GQ50" s="782"/>
      <c r="GR50" s="782"/>
      <c r="GS50" s="782"/>
      <c r="GT50" s="782"/>
      <c r="GU50" s="782"/>
      <c r="GV50" s="782"/>
      <c r="GW50" s="782"/>
      <c r="GX50" s="782"/>
      <c r="GY50" s="782"/>
      <c r="GZ50" s="782"/>
      <c r="HA50" s="782"/>
      <c r="HB50" s="782"/>
      <c r="HC50" s="782"/>
      <c r="HD50" s="782"/>
      <c r="HE50" s="782"/>
      <c r="HF50" s="782"/>
      <c r="HG50" s="782"/>
      <c r="HH50" s="782"/>
      <c r="HI50" s="782"/>
      <c r="HJ50" s="782"/>
      <c r="HK50" s="782"/>
      <c r="HL50" s="782"/>
      <c r="HM50" s="782"/>
      <c r="HN50" s="782"/>
      <c r="HO50" s="782"/>
      <c r="HP50" s="782"/>
      <c r="HQ50" s="782"/>
      <c r="HR50" s="782"/>
      <c r="HS50" s="782"/>
      <c r="HT50" s="782"/>
      <c r="HU50" s="782"/>
      <c r="HV50" s="782"/>
      <c r="HW50" s="782"/>
      <c r="HX50" s="782"/>
      <c r="HY50" s="782"/>
      <c r="HZ50" s="782"/>
      <c r="IA50" s="782"/>
      <c r="IB50" s="782"/>
      <c r="IC50" s="782"/>
      <c r="ID50" s="782"/>
      <c r="IE50" s="782"/>
      <c r="IF50" s="782"/>
      <c r="IG50" s="782"/>
      <c r="IH50" s="782"/>
      <c r="II50" s="782"/>
      <c r="IJ50" s="782"/>
      <c r="IK50" s="782"/>
      <c r="IL50" s="782"/>
      <c r="IM50" s="782"/>
      <c r="IN50" s="782"/>
      <c r="IO50" s="782"/>
      <c r="IP50" s="782"/>
      <c r="IQ50" s="782"/>
      <c r="IR50" s="782"/>
      <c r="IS50" s="782"/>
      <c r="IT50" s="782"/>
      <c r="IU50" s="782"/>
      <c r="IV50" s="782"/>
      <c r="IW50" s="782"/>
      <c r="IX50" s="782"/>
      <c r="IY50" s="782"/>
      <c r="IZ50" s="782"/>
      <c r="JA50" s="782"/>
      <c r="JB50" s="782"/>
      <c r="JC50" s="782"/>
      <c r="JD50" s="782"/>
      <c r="JE50" s="782"/>
      <c r="JF50" s="782"/>
      <c r="JG50" s="782"/>
      <c r="JH50" s="782"/>
      <c r="JI50" s="782"/>
      <c r="JJ50" s="782"/>
      <c r="JK50" s="782"/>
      <c r="JL50" s="782"/>
      <c r="JM50" s="782"/>
      <c r="JN50" s="782"/>
      <c r="JO50" s="782"/>
      <c r="JP50" s="782"/>
      <c r="JQ50" s="782"/>
      <c r="JR50" s="782"/>
      <c r="JS50" s="782"/>
      <c r="JT50" s="782"/>
      <c r="JU50" s="782"/>
      <c r="JV50" s="782"/>
      <c r="JW50" s="782"/>
      <c r="JX50" s="782"/>
      <c r="JY50" s="782"/>
      <c r="JZ50" s="782"/>
      <c r="KA50" s="782"/>
      <c r="KB50" s="782"/>
      <c r="KC50" s="782"/>
      <c r="KD50" s="782"/>
      <c r="KE50" s="782"/>
      <c r="KF50" s="782"/>
      <c r="KG50" s="782"/>
      <c r="KH50" s="782"/>
      <c r="KI50" s="782"/>
      <c r="KJ50" s="782"/>
      <c r="KK50" s="782"/>
      <c r="KL50" s="782"/>
      <c r="KM50" s="782"/>
      <c r="KN50" s="782"/>
      <c r="KO50" s="782"/>
      <c r="KP50" s="782"/>
      <c r="KQ50" s="782"/>
      <c r="KR50" s="782"/>
      <c r="KS50" s="782"/>
      <c r="KT50" s="782"/>
      <c r="KU50" s="782"/>
      <c r="KV50" s="782"/>
      <c r="KW50" s="782"/>
      <c r="KX50" s="782"/>
      <c r="KY50" s="782"/>
      <c r="KZ50" s="782"/>
      <c r="LA50" s="782"/>
      <c r="LB50" s="782"/>
      <c r="LC50" s="782"/>
      <c r="LD50" s="782"/>
      <c r="LE50" s="782"/>
      <c r="LF50" s="782"/>
      <c r="LG50" s="782"/>
      <c r="LH50" s="782"/>
      <c r="LI50" s="782"/>
      <c r="LJ50" s="782"/>
      <c r="LK50" s="782"/>
      <c r="LL50" s="782"/>
      <c r="LM50" s="782"/>
      <c r="LN50" s="782"/>
      <c r="LO50" s="782"/>
      <c r="LP50" s="782"/>
      <c r="LQ50" s="782"/>
      <c r="LR50" s="782"/>
      <c r="LS50" s="782"/>
      <c r="LT50" s="782"/>
      <c r="LU50" s="782"/>
      <c r="LV50" s="782"/>
      <c r="LW50" s="782"/>
      <c r="LX50" s="782"/>
      <c r="LY50" s="782"/>
      <c r="LZ50" s="782"/>
      <c r="MA50" s="782"/>
      <c r="MB50" s="782"/>
      <c r="MC50" s="782"/>
      <c r="MD50" s="782"/>
      <c r="ME50" s="782"/>
      <c r="MF50" s="782"/>
      <c r="MG50" s="782"/>
      <c r="MH50" s="782"/>
      <c r="MI50" s="782"/>
      <c r="MJ50" s="782"/>
      <c r="MK50" s="782"/>
      <c r="ML50" s="782"/>
      <c r="MM50" s="782"/>
      <c r="MN50" s="782"/>
      <c r="MO50" s="782"/>
      <c r="MP50" s="782"/>
      <c r="MQ50" s="782"/>
      <c r="MR50" s="782"/>
      <c r="MS50" s="782"/>
      <c r="MT50" s="782"/>
      <c r="MU50" s="782"/>
      <c r="MV50" s="782"/>
      <c r="MW50" s="782"/>
      <c r="MX50" s="782"/>
      <c r="MY50" s="782"/>
      <c r="MZ50" s="782"/>
      <c r="NA50" s="782"/>
      <c r="NB50" s="782"/>
      <c r="NC50" s="782"/>
      <c r="ND50" s="782"/>
      <c r="NE50" s="782"/>
      <c r="NF50" s="782"/>
      <c r="NG50" s="782"/>
      <c r="NH50" s="782"/>
      <c r="NI50" s="782"/>
      <c r="NJ50" s="782"/>
      <c r="NK50" s="782"/>
      <c r="NL50" s="782"/>
      <c r="NM50" s="782"/>
      <c r="NN50" s="782"/>
      <c r="NO50" s="782"/>
      <c r="NP50" s="782"/>
      <c r="NQ50" s="782"/>
      <c r="NR50" s="782"/>
      <c r="NS50" s="782"/>
      <c r="NT50" s="782"/>
      <c r="NU50" s="782"/>
      <c r="NV50" s="782"/>
      <c r="NW50" s="782"/>
      <c r="NX50" s="782"/>
      <c r="NY50" s="782"/>
      <c r="NZ50" s="782"/>
      <c r="OA50" s="782"/>
      <c r="OB50" s="782"/>
      <c r="OC50" s="782"/>
      <c r="OD50" s="782"/>
      <c r="OE50" s="782"/>
      <c r="OF50" s="782"/>
      <c r="OG50" s="782"/>
      <c r="OH50" s="782"/>
      <c r="OI50" s="782"/>
      <c r="OJ50" s="782"/>
      <c r="OK50" s="782"/>
      <c r="OL50" s="782"/>
      <c r="OM50" s="782"/>
      <c r="ON50" s="782"/>
      <c r="OO50" s="782"/>
      <c r="OP50" s="782"/>
      <c r="OQ50" s="782"/>
      <c r="OR50" s="782"/>
      <c r="OS50" s="782"/>
      <c r="OT50" s="782"/>
      <c r="OU50" s="782"/>
      <c r="OV50" s="782"/>
      <c r="OW50" s="782"/>
      <c r="OX50" s="782"/>
      <c r="OY50" s="782"/>
      <c r="OZ50" s="782"/>
      <c r="PA50" s="782"/>
      <c r="PB50" s="782"/>
      <c r="PC50" s="782"/>
      <c r="PD50" s="782"/>
      <c r="PE50" s="782"/>
      <c r="PF50" s="782"/>
      <c r="PG50" s="782"/>
      <c r="PH50" s="782"/>
      <c r="PI50" s="782"/>
      <c r="PJ50" s="782"/>
      <c r="PK50" s="782"/>
      <c r="PL50" s="782"/>
      <c r="PM50" s="782"/>
      <c r="PN50" s="782"/>
      <c r="PO50" s="782"/>
      <c r="PP50" s="782"/>
      <c r="PQ50" s="782"/>
      <c r="PR50" s="782"/>
      <c r="PS50" s="782"/>
      <c r="PT50" s="782"/>
      <c r="PU50" s="782"/>
      <c r="PV50" s="782"/>
      <c r="PW50" s="782"/>
      <c r="PX50" s="782"/>
      <c r="PY50" s="782"/>
      <c r="PZ50" s="782"/>
      <c r="QA50" s="782"/>
      <c r="QB50" s="782"/>
      <c r="QC50" s="782"/>
      <c r="QD50" s="782"/>
      <c r="QE50" s="782"/>
      <c r="QF50" s="782"/>
      <c r="QG50" s="782"/>
      <c r="QH50" s="782"/>
      <c r="QI50" s="782"/>
      <c r="QJ50" s="782"/>
      <c r="QK50" s="782"/>
      <c r="QL50" s="782"/>
      <c r="QM50" s="782"/>
      <c r="QN50" s="782"/>
      <c r="QO50" s="782"/>
      <c r="QP50" s="782"/>
      <c r="QQ50" s="782"/>
      <c r="QR50" s="782"/>
      <c r="QS50" s="782"/>
      <c r="QT50" s="782"/>
      <c r="QU50" s="782"/>
      <c r="QV50" s="782"/>
      <c r="QW50" s="782"/>
      <c r="QX50" s="782"/>
      <c r="QY50" s="782"/>
      <c r="QZ50" s="782"/>
      <c r="RA50" s="782"/>
      <c r="RB50" s="782"/>
      <c r="RC50" s="782"/>
      <c r="RD50" s="782"/>
      <c r="RE50" s="782"/>
      <c r="RF50" s="782"/>
      <c r="RG50" s="782"/>
      <c r="RH50" s="782"/>
      <c r="RI50" s="782"/>
      <c r="RJ50" s="782"/>
      <c r="RK50" s="782"/>
      <c r="RL50" s="782"/>
      <c r="RM50" s="782"/>
      <c r="RN50" s="782"/>
      <c r="RO50" s="782"/>
      <c r="RP50" s="782"/>
      <c r="RQ50" s="782"/>
      <c r="RR50" s="782"/>
      <c r="RS50" s="782"/>
      <c r="RT50" s="782"/>
      <c r="RU50" s="782"/>
      <c r="RV50" s="782"/>
      <c r="RW50" s="782"/>
      <c r="RX50" s="782"/>
    </row>
    <row r="51" spans="1:492" s="143" customFormat="1">
      <c r="A51" s="782"/>
      <c r="B51" s="782"/>
      <c r="C51" s="782"/>
      <c r="D51" s="782"/>
      <c r="E51" s="782"/>
      <c r="F51" s="782"/>
      <c r="G51" s="782"/>
      <c r="H51" s="782"/>
      <c r="I51" s="782"/>
      <c r="J51" s="782"/>
      <c r="K51" s="782"/>
      <c r="L51" s="782"/>
      <c r="M51" s="782"/>
      <c r="N51" s="782"/>
      <c r="O51" s="782"/>
      <c r="P51" s="782"/>
      <c r="Q51" s="782"/>
      <c r="R51" s="782"/>
      <c r="S51" s="782"/>
      <c r="T51" s="782"/>
      <c r="U51" s="782"/>
      <c r="V51" s="782"/>
      <c r="W51" s="782"/>
      <c r="X51" s="782"/>
      <c r="Y51" s="782"/>
      <c r="Z51" s="782"/>
      <c r="AA51" s="782"/>
      <c r="AB51" s="782"/>
      <c r="AC51" s="782"/>
      <c r="AD51" s="782"/>
      <c r="AE51" s="782"/>
      <c r="AF51" s="782"/>
      <c r="AG51" s="782"/>
      <c r="AH51" s="782"/>
      <c r="AI51" s="782"/>
      <c r="AJ51" s="782"/>
      <c r="AK51" s="782"/>
      <c r="AL51" s="782"/>
      <c r="AM51" s="785"/>
      <c r="AN51" s="785"/>
      <c r="AO51" s="785"/>
      <c r="AP51" s="785"/>
      <c r="AQ51" s="785"/>
      <c r="AR51" s="785"/>
      <c r="AS51" s="785"/>
      <c r="AT51" s="785"/>
      <c r="AU51" s="785"/>
      <c r="AV51" s="785"/>
      <c r="AW51" s="790"/>
      <c r="AX51" s="790"/>
      <c r="AY51" s="790"/>
      <c r="AZ51" s="790"/>
      <c r="BA51" s="785"/>
      <c r="BB51" s="785"/>
      <c r="BC51" s="785"/>
      <c r="BD51" s="785"/>
      <c r="BE51" s="785"/>
      <c r="BF51" s="785"/>
      <c r="BG51" s="785"/>
      <c r="BH51" s="785"/>
      <c r="BI51" s="785"/>
      <c r="BJ51" s="785"/>
      <c r="BK51" s="785"/>
      <c r="BL51" s="785"/>
      <c r="BM51" s="785"/>
      <c r="BN51" s="785"/>
      <c r="BO51" s="785"/>
      <c r="BP51" s="785"/>
      <c r="BQ51" s="785"/>
      <c r="BR51" s="785"/>
      <c r="BS51" s="785"/>
      <c r="BT51" s="785"/>
      <c r="BU51" s="785"/>
      <c r="BV51" s="785"/>
      <c r="BW51" s="785"/>
      <c r="BX51" s="785"/>
      <c r="BY51" s="785"/>
      <c r="BZ51" s="785"/>
      <c r="CA51" s="782"/>
      <c r="CB51" s="782"/>
      <c r="CC51" s="782"/>
      <c r="CD51" s="782"/>
      <c r="CE51" s="782"/>
      <c r="CF51" s="782"/>
      <c r="CG51" s="782"/>
      <c r="CH51" s="782"/>
      <c r="CI51" s="782"/>
      <c r="CJ51" s="782"/>
      <c r="CK51" s="782"/>
      <c r="CL51" s="782"/>
      <c r="CM51" s="782"/>
      <c r="CN51" s="782"/>
      <c r="CO51" s="782"/>
      <c r="CP51" s="782"/>
      <c r="CQ51" s="782"/>
      <c r="CR51" s="782"/>
      <c r="CS51" s="782"/>
      <c r="CT51" s="782"/>
      <c r="CU51" s="782"/>
      <c r="CV51" s="782"/>
      <c r="CW51" s="782"/>
      <c r="CX51" s="782"/>
      <c r="CY51" s="782"/>
      <c r="CZ51" s="782"/>
      <c r="DA51" s="782"/>
      <c r="DB51" s="782"/>
      <c r="DC51" s="782"/>
      <c r="DD51" s="782"/>
      <c r="DE51" s="782"/>
      <c r="DF51" s="782"/>
      <c r="DG51" s="782"/>
      <c r="DH51" s="782"/>
      <c r="DI51" s="782"/>
      <c r="DJ51" s="782"/>
      <c r="DK51" s="782"/>
      <c r="DL51" s="782"/>
      <c r="DM51" s="782"/>
      <c r="DN51" s="782"/>
      <c r="DO51" s="782"/>
      <c r="DP51" s="782"/>
      <c r="DQ51" s="782"/>
      <c r="DR51" s="782"/>
      <c r="DS51" s="782"/>
      <c r="DT51" s="782"/>
      <c r="DU51" s="782"/>
      <c r="DV51" s="782"/>
      <c r="DW51" s="782"/>
      <c r="DX51" s="782"/>
      <c r="DY51" s="782"/>
      <c r="DZ51" s="782"/>
      <c r="EA51" s="782"/>
      <c r="EB51" s="782"/>
      <c r="EC51" s="782"/>
      <c r="ED51" s="782"/>
      <c r="EE51" s="782"/>
      <c r="EF51" s="782"/>
      <c r="EG51" s="782"/>
      <c r="EH51" s="782"/>
      <c r="EI51" s="782"/>
      <c r="EJ51" s="782"/>
      <c r="EK51" s="782"/>
      <c r="EL51" s="782"/>
      <c r="EM51" s="782"/>
      <c r="EN51" s="782"/>
      <c r="EO51" s="782"/>
      <c r="EP51" s="782"/>
      <c r="EQ51" s="782"/>
      <c r="ER51" s="782"/>
      <c r="ES51" s="782"/>
      <c r="ET51" s="782"/>
      <c r="EU51" s="782"/>
      <c r="EV51" s="782"/>
      <c r="EW51" s="782"/>
      <c r="EX51" s="782"/>
      <c r="EY51" s="782"/>
      <c r="EZ51" s="782"/>
      <c r="FA51" s="782"/>
      <c r="FB51" s="782"/>
      <c r="FC51" s="782"/>
      <c r="FD51" s="782"/>
      <c r="FE51" s="782"/>
      <c r="FF51" s="782"/>
      <c r="FG51" s="782"/>
      <c r="FH51" s="782"/>
      <c r="FI51" s="782"/>
      <c r="FJ51" s="782"/>
      <c r="FK51" s="782"/>
      <c r="FL51" s="782"/>
      <c r="FM51" s="782"/>
      <c r="FN51" s="782"/>
      <c r="FO51" s="782"/>
      <c r="FP51" s="782"/>
      <c r="FQ51" s="782"/>
      <c r="FR51" s="782"/>
      <c r="FS51" s="782"/>
      <c r="FT51" s="782"/>
      <c r="FU51" s="782"/>
      <c r="FV51" s="782"/>
      <c r="FW51" s="782"/>
      <c r="FX51" s="782"/>
      <c r="FY51" s="782"/>
      <c r="FZ51" s="782"/>
      <c r="GA51" s="782"/>
      <c r="GB51" s="782"/>
      <c r="GC51" s="782"/>
      <c r="GD51" s="782"/>
      <c r="GE51" s="782"/>
      <c r="GF51" s="782"/>
      <c r="GG51" s="782"/>
      <c r="GH51" s="782"/>
      <c r="GI51" s="782"/>
      <c r="GJ51" s="782"/>
      <c r="GK51" s="782"/>
      <c r="GL51" s="782"/>
      <c r="GM51" s="782"/>
      <c r="GN51" s="782"/>
      <c r="GO51" s="782"/>
      <c r="GP51" s="782"/>
      <c r="GQ51" s="782"/>
      <c r="GR51" s="782"/>
      <c r="GS51" s="782"/>
      <c r="GT51" s="782"/>
      <c r="GU51" s="782"/>
      <c r="GV51" s="782"/>
      <c r="GW51" s="782"/>
      <c r="GX51" s="782"/>
      <c r="GY51" s="782"/>
      <c r="GZ51" s="782"/>
      <c r="HA51" s="782"/>
      <c r="HB51" s="782"/>
      <c r="HC51" s="782"/>
      <c r="HD51" s="782"/>
      <c r="HE51" s="782"/>
      <c r="HF51" s="782"/>
      <c r="HG51" s="782"/>
      <c r="HH51" s="782"/>
      <c r="HI51" s="782"/>
      <c r="HJ51" s="782"/>
      <c r="HK51" s="782"/>
      <c r="HL51" s="782"/>
      <c r="HM51" s="782"/>
      <c r="HN51" s="782"/>
      <c r="HO51" s="782"/>
      <c r="HP51" s="782"/>
      <c r="HQ51" s="782"/>
      <c r="HR51" s="782"/>
      <c r="HS51" s="782"/>
      <c r="HT51" s="782"/>
      <c r="HU51" s="782"/>
      <c r="HV51" s="782"/>
      <c r="HW51" s="782"/>
      <c r="HX51" s="782"/>
      <c r="HY51" s="782"/>
      <c r="HZ51" s="782"/>
      <c r="IA51" s="782"/>
      <c r="IB51" s="782"/>
      <c r="IC51" s="782"/>
      <c r="ID51" s="782"/>
      <c r="IE51" s="782"/>
      <c r="IF51" s="782"/>
      <c r="IG51" s="782"/>
      <c r="IH51" s="782"/>
      <c r="II51" s="782"/>
      <c r="IJ51" s="782"/>
      <c r="IK51" s="782"/>
      <c r="IL51" s="782"/>
      <c r="IM51" s="782"/>
      <c r="IN51" s="782"/>
      <c r="IO51" s="782"/>
      <c r="IP51" s="782"/>
      <c r="IQ51" s="782"/>
      <c r="IR51" s="782"/>
      <c r="IS51" s="782"/>
      <c r="IT51" s="782"/>
      <c r="IU51" s="782"/>
      <c r="IV51" s="782"/>
      <c r="IW51" s="782"/>
      <c r="IX51" s="782"/>
      <c r="IY51" s="782"/>
      <c r="IZ51" s="782"/>
      <c r="JA51" s="782"/>
      <c r="JB51" s="782"/>
      <c r="JC51" s="782"/>
      <c r="JD51" s="782"/>
      <c r="JE51" s="782"/>
      <c r="JF51" s="782"/>
      <c r="JG51" s="782"/>
      <c r="JH51" s="782"/>
      <c r="JI51" s="782"/>
      <c r="JJ51" s="782"/>
      <c r="JK51" s="782"/>
      <c r="JL51" s="782"/>
      <c r="JM51" s="782"/>
      <c r="JN51" s="782"/>
      <c r="JO51" s="782"/>
      <c r="JP51" s="782"/>
      <c r="JQ51" s="782"/>
      <c r="JR51" s="782"/>
      <c r="JS51" s="782"/>
      <c r="JT51" s="782"/>
      <c r="JU51" s="782"/>
      <c r="JV51" s="782"/>
      <c r="JW51" s="782"/>
      <c r="JX51" s="782"/>
      <c r="JY51" s="782"/>
      <c r="JZ51" s="782"/>
      <c r="KA51" s="782"/>
      <c r="KB51" s="782"/>
      <c r="KC51" s="782"/>
      <c r="KD51" s="782"/>
      <c r="KE51" s="782"/>
      <c r="KF51" s="782"/>
      <c r="KG51" s="782"/>
      <c r="KH51" s="782"/>
      <c r="KI51" s="782"/>
      <c r="KJ51" s="782"/>
      <c r="KK51" s="782"/>
      <c r="KL51" s="782"/>
      <c r="KM51" s="782"/>
      <c r="KN51" s="782"/>
      <c r="KO51" s="782"/>
      <c r="KP51" s="782"/>
      <c r="KQ51" s="782"/>
      <c r="KR51" s="782"/>
      <c r="KS51" s="782"/>
      <c r="KT51" s="782"/>
      <c r="KU51" s="782"/>
      <c r="KV51" s="782"/>
      <c r="KW51" s="782"/>
      <c r="KX51" s="782"/>
      <c r="KY51" s="782"/>
      <c r="KZ51" s="782"/>
      <c r="LA51" s="782"/>
      <c r="LB51" s="782"/>
      <c r="LC51" s="782"/>
      <c r="LD51" s="782"/>
      <c r="LE51" s="782"/>
      <c r="LF51" s="782"/>
      <c r="LG51" s="782"/>
      <c r="LH51" s="782"/>
      <c r="LI51" s="782"/>
      <c r="LJ51" s="782"/>
      <c r="LK51" s="782"/>
      <c r="LL51" s="782"/>
      <c r="LM51" s="782"/>
      <c r="LN51" s="782"/>
      <c r="LO51" s="782"/>
      <c r="LP51" s="782"/>
      <c r="LQ51" s="782"/>
      <c r="LR51" s="782"/>
      <c r="LS51" s="782"/>
      <c r="LT51" s="782"/>
      <c r="LU51" s="782"/>
      <c r="LV51" s="782"/>
      <c r="LW51" s="782"/>
      <c r="LX51" s="782"/>
      <c r="LY51" s="782"/>
      <c r="LZ51" s="782"/>
      <c r="MA51" s="782"/>
      <c r="MB51" s="782"/>
      <c r="MC51" s="782"/>
      <c r="MD51" s="782"/>
      <c r="ME51" s="782"/>
      <c r="MF51" s="782"/>
      <c r="MG51" s="782"/>
      <c r="MH51" s="782"/>
      <c r="MI51" s="782"/>
      <c r="MJ51" s="782"/>
      <c r="MK51" s="782"/>
      <c r="ML51" s="782"/>
      <c r="MM51" s="782"/>
      <c r="MN51" s="782"/>
      <c r="MO51" s="782"/>
      <c r="MP51" s="782"/>
      <c r="MQ51" s="782"/>
      <c r="MR51" s="782"/>
      <c r="MS51" s="782"/>
      <c r="MT51" s="782"/>
      <c r="MU51" s="782"/>
      <c r="MV51" s="782"/>
      <c r="MW51" s="782"/>
      <c r="MX51" s="782"/>
      <c r="MY51" s="782"/>
      <c r="MZ51" s="782"/>
      <c r="NA51" s="782"/>
      <c r="NB51" s="782"/>
      <c r="NC51" s="782"/>
      <c r="ND51" s="782"/>
      <c r="NE51" s="782"/>
      <c r="NF51" s="782"/>
      <c r="NG51" s="782"/>
      <c r="NH51" s="782"/>
      <c r="NI51" s="782"/>
      <c r="NJ51" s="782"/>
      <c r="NK51" s="782"/>
      <c r="NL51" s="782"/>
      <c r="NM51" s="782"/>
      <c r="NN51" s="782"/>
      <c r="NO51" s="782"/>
      <c r="NP51" s="782"/>
      <c r="NQ51" s="782"/>
      <c r="NR51" s="782"/>
      <c r="NS51" s="782"/>
      <c r="NT51" s="782"/>
      <c r="NU51" s="782"/>
      <c r="NV51" s="782"/>
      <c r="NW51" s="782"/>
      <c r="NX51" s="782"/>
      <c r="NY51" s="782"/>
      <c r="NZ51" s="782"/>
      <c r="OA51" s="782"/>
      <c r="OB51" s="782"/>
      <c r="OC51" s="782"/>
      <c r="OD51" s="782"/>
      <c r="OE51" s="782"/>
      <c r="OF51" s="782"/>
      <c r="OG51" s="782"/>
      <c r="OH51" s="782"/>
      <c r="OI51" s="782"/>
      <c r="OJ51" s="782"/>
      <c r="OK51" s="782"/>
      <c r="OL51" s="782"/>
      <c r="OM51" s="782"/>
      <c r="ON51" s="782"/>
      <c r="OO51" s="782"/>
      <c r="OP51" s="782"/>
      <c r="OQ51" s="782"/>
      <c r="OR51" s="782"/>
      <c r="OS51" s="782"/>
      <c r="OT51" s="782"/>
      <c r="OU51" s="782"/>
      <c r="OV51" s="782"/>
      <c r="OW51" s="782"/>
      <c r="OX51" s="782"/>
      <c r="OY51" s="782"/>
      <c r="OZ51" s="782"/>
      <c r="PA51" s="782"/>
      <c r="PB51" s="782"/>
      <c r="PC51" s="782"/>
      <c r="PD51" s="782"/>
      <c r="PE51" s="782"/>
      <c r="PF51" s="782"/>
      <c r="PG51" s="782"/>
      <c r="PH51" s="782"/>
      <c r="PI51" s="782"/>
      <c r="PJ51" s="782"/>
      <c r="PK51" s="782"/>
      <c r="PL51" s="782"/>
      <c r="PM51" s="782"/>
      <c r="PN51" s="782"/>
      <c r="PO51" s="782"/>
      <c r="PP51" s="782"/>
      <c r="PQ51" s="782"/>
      <c r="PR51" s="782"/>
      <c r="PS51" s="782"/>
      <c r="PT51" s="782"/>
      <c r="PU51" s="782"/>
      <c r="PV51" s="782"/>
      <c r="PW51" s="782"/>
      <c r="PX51" s="782"/>
      <c r="PY51" s="782"/>
      <c r="PZ51" s="782"/>
      <c r="QA51" s="782"/>
      <c r="QB51" s="782"/>
      <c r="QC51" s="782"/>
      <c r="QD51" s="782"/>
      <c r="QE51" s="782"/>
      <c r="QF51" s="782"/>
      <c r="QG51" s="782"/>
      <c r="QH51" s="782"/>
      <c r="QI51" s="782"/>
      <c r="QJ51" s="782"/>
      <c r="QK51" s="782"/>
      <c r="QL51" s="782"/>
      <c r="QM51" s="782"/>
      <c r="QN51" s="782"/>
      <c r="QO51" s="782"/>
      <c r="QP51" s="782"/>
      <c r="QQ51" s="782"/>
      <c r="QR51" s="782"/>
      <c r="QS51" s="782"/>
      <c r="QT51" s="782"/>
      <c r="QU51" s="782"/>
      <c r="QV51" s="782"/>
      <c r="QW51" s="782"/>
      <c r="QX51" s="782"/>
      <c r="QY51" s="782"/>
      <c r="QZ51" s="782"/>
      <c r="RA51" s="782"/>
      <c r="RB51" s="782"/>
      <c r="RC51" s="782"/>
      <c r="RD51" s="782"/>
      <c r="RE51" s="782"/>
      <c r="RF51" s="782"/>
      <c r="RG51" s="782"/>
      <c r="RH51" s="782"/>
      <c r="RI51" s="782"/>
      <c r="RJ51" s="782"/>
      <c r="RK51" s="782"/>
      <c r="RL51" s="782"/>
      <c r="RM51" s="782"/>
      <c r="RN51" s="782"/>
      <c r="RO51" s="782"/>
      <c r="RP51" s="782"/>
      <c r="RQ51" s="782"/>
      <c r="RR51" s="782"/>
      <c r="RS51" s="782"/>
      <c r="RT51" s="782"/>
      <c r="RU51" s="782"/>
      <c r="RV51" s="782"/>
      <c r="RW51" s="782"/>
      <c r="RX51" s="782"/>
    </row>
    <row r="52" spans="1:492" s="143" customFormat="1">
      <c r="A52" s="782"/>
      <c r="B52" s="782"/>
      <c r="C52" s="782"/>
      <c r="D52" s="782"/>
      <c r="E52" s="782"/>
      <c r="F52" s="782"/>
      <c r="G52" s="782"/>
      <c r="H52" s="782"/>
      <c r="I52" s="782"/>
      <c r="J52" s="782"/>
      <c r="K52" s="782"/>
      <c r="L52" s="782"/>
      <c r="M52" s="782"/>
      <c r="N52" s="782"/>
      <c r="O52" s="782"/>
      <c r="P52" s="782"/>
      <c r="Q52" s="782"/>
      <c r="R52" s="782"/>
      <c r="S52" s="782"/>
      <c r="T52" s="782"/>
      <c r="U52" s="782"/>
      <c r="V52" s="782"/>
      <c r="W52" s="782"/>
      <c r="X52" s="782"/>
      <c r="Y52" s="782"/>
      <c r="Z52" s="782"/>
      <c r="AA52" s="782"/>
      <c r="AB52" s="782"/>
      <c r="AC52" s="782"/>
      <c r="AD52" s="782"/>
      <c r="AE52" s="782"/>
      <c r="AF52" s="782"/>
      <c r="AG52" s="782"/>
      <c r="AH52" s="782"/>
      <c r="AI52" s="782"/>
      <c r="AJ52" s="782"/>
      <c r="AK52" s="782"/>
      <c r="AL52" s="782"/>
      <c r="AM52" s="785"/>
      <c r="AN52" s="785"/>
      <c r="AO52" s="785"/>
      <c r="AP52" s="785"/>
      <c r="AQ52" s="785"/>
      <c r="AR52" s="785"/>
      <c r="AS52" s="785"/>
      <c r="AT52" s="785"/>
      <c r="AU52" s="785"/>
      <c r="AV52" s="785"/>
      <c r="AW52" s="790"/>
      <c r="AX52" s="790"/>
      <c r="AY52" s="790"/>
      <c r="AZ52" s="790"/>
      <c r="BA52" s="785"/>
      <c r="BB52" s="785"/>
      <c r="BC52" s="785"/>
      <c r="BD52" s="785"/>
      <c r="BE52" s="785"/>
      <c r="BF52" s="785"/>
      <c r="BG52" s="785"/>
      <c r="BH52" s="785"/>
      <c r="BI52" s="785"/>
      <c r="BJ52" s="785"/>
      <c r="BK52" s="785"/>
      <c r="BL52" s="785"/>
      <c r="BM52" s="785"/>
      <c r="BN52" s="785"/>
      <c r="BO52" s="785"/>
      <c r="BP52" s="785"/>
      <c r="BQ52" s="785"/>
      <c r="BR52" s="785"/>
      <c r="BS52" s="785"/>
      <c r="BT52" s="785"/>
      <c r="BU52" s="785"/>
      <c r="BV52" s="785"/>
      <c r="BW52" s="785"/>
      <c r="BX52" s="785"/>
      <c r="BY52" s="785"/>
      <c r="BZ52" s="785"/>
      <c r="CA52" s="782"/>
      <c r="CB52" s="782"/>
      <c r="CC52" s="782"/>
      <c r="CD52" s="782"/>
      <c r="CE52" s="782"/>
      <c r="CF52" s="782"/>
      <c r="CG52" s="782"/>
      <c r="CH52" s="782"/>
      <c r="CI52" s="782"/>
      <c r="CJ52" s="782"/>
      <c r="CK52" s="782"/>
      <c r="CL52" s="782"/>
      <c r="CM52" s="782"/>
      <c r="CN52" s="782"/>
      <c r="CO52" s="782"/>
      <c r="CP52" s="782"/>
      <c r="CQ52" s="782"/>
      <c r="CR52" s="782"/>
      <c r="CS52" s="782"/>
      <c r="CT52" s="782"/>
      <c r="CU52" s="782"/>
      <c r="CV52" s="782"/>
      <c r="CW52" s="782"/>
      <c r="CX52" s="782"/>
      <c r="CY52" s="782"/>
      <c r="CZ52" s="782"/>
      <c r="DA52" s="782"/>
      <c r="DB52" s="782"/>
      <c r="DC52" s="782"/>
      <c r="DD52" s="782"/>
      <c r="DE52" s="782"/>
      <c r="DF52" s="782"/>
      <c r="DG52" s="782"/>
      <c r="DH52" s="782"/>
      <c r="DI52" s="782"/>
      <c r="DJ52" s="782"/>
      <c r="DK52" s="782"/>
      <c r="DL52" s="782"/>
      <c r="DM52" s="782"/>
      <c r="DN52" s="782"/>
      <c r="DO52" s="782"/>
      <c r="DP52" s="782"/>
      <c r="DQ52" s="782"/>
      <c r="DR52" s="782"/>
      <c r="DS52" s="782"/>
      <c r="DT52" s="782"/>
      <c r="DU52" s="782"/>
      <c r="DV52" s="782"/>
      <c r="DW52" s="782"/>
      <c r="DX52" s="782"/>
      <c r="DY52" s="782"/>
      <c r="DZ52" s="782"/>
      <c r="EA52" s="782"/>
      <c r="EB52" s="782"/>
      <c r="EC52" s="782"/>
      <c r="ED52" s="782"/>
      <c r="EE52" s="782"/>
      <c r="EF52" s="782"/>
      <c r="EG52" s="782"/>
      <c r="EH52" s="782"/>
      <c r="EI52" s="782"/>
      <c r="EJ52" s="782"/>
      <c r="EK52" s="782"/>
      <c r="EL52" s="782"/>
      <c r="EM52" s="782"/>
      <c r="EN52" s="782"/>
      <c r="EO52" s="782"/>
      <c r="EP52" s="782"/>
      <c r="EQ52" s="782"/>
      <c r="ER52" s="782"/>
      <c r="ES52" s="782"/>
      <c r="ET52" s="782"/>
      <c r="EU52" s="782"/>
      <c r="EV52" s="782"/>
      <c r="EW52" s="782"/>
      <c r="EX52" s="782"/>
      <c r="EY52" s="782"/>
      <c r="EZ52" s="782"/>
      <c r="FA52" s="782"/>
      <c r="FB52" s="782"/>
      <c r="FC52" s="782"/>
      <c r="FD52" s="782"/>
      <c r="FE52" s="782"/>
      <c r="FF52" s="782"/>
      <c r="FG52" s="782"/>
      <c r="FH52" s="782"/>
      <c r="FI52" s="782"/>
      <c r="FJ52" s="782"/>
      <c r="FK52" s="782"/>
      <c r="FL52" s="782"/>
      <c r="FM52" s="782"/>
      <c r="FN52" s="782"/>
      <c r="FO52" s="782"/>
      <c r="FP52" s="782"/>
      <c r="FQ52" s="782"/>
      <c r="FR52" s="782"/>
      <c r="FS52" s="782"/>
      <c r="FT52" s="782"/>
      <c r="FU52" s="782"/>
      <c r="FV52" s="782"/>
      <c r="FW52" s="782"/>
      <c r="FX52" s="782"/>
      <c r="FY52" s="782"/>
      <c r="FZ52" s="782"/>
      <c r="GA52" s="782"/>
      <c r="GB52" s="782"/>
      <c r="GC52" s="782"/>
      <c r="GD52" s="782"/>
      <c r="GE52" s="782"/>
      <c r="GF52" s="782"/>
      <c r="GG52" s="782"/>
      <c r="GH52" s="782"/>
      <c r="GI52" s="782"/>
      <c r="GJ52" s="782"/>
      <c r="GK52" s="782"/>
      <c r="GL52" s="782"/>
      <c r="GM52" s="782"/>
      <c r="GN52" s="782"/>
      <c r="GO52" s="782"/>
      <c r="GP52" s="782"/>
      <c r="GQ52" s="782"/>
      <c r="GR52" s="782"/>
      <c r="GS52" s="782"/>
      <c r="GT52" s="782"/>
      <c r="GU52" s="782"/>
      <c r="GV52" s="782"/>
      <c r="GW52" s="782"/>
      <c r="GX52" s="782"/>
      <c r="GY52" s="782"/>
      <c r="GZ52" s="782"/>
      <c r="HA52" s="782"/>
      <c r="HB52" s="782"/>
      <c r="HC52" s="782"/>
      <c r="HD52" s="782"/>
      <c r="HE52" s="782"/>
      <c r="HF52" s="782"/>
      <c r="HG52" s="782"/>
      <c r="HH52" s="782"/>
      <c r="HI52" s="782"/>
      <c r="HJ52" s="782"/>
      <c r="HK52" s="782"/>
      <c r="HL52" s="782"/>
      <c r="HM52" s="782"/>
      <c r="HN52" s="782"/>
      <c r="HO52" s="782"/>
      <c r="HP52" s="782"/>
      <c r="HQ52" s="782"/>
      <c r="HR52" s="782"/>
      <c r="HS52" s="782"/>
      <c r="HT52" s="782"/>
      <c r="HU52" s="782"/>
      <c r="HV52" s="782"/>
      <c r="HW52" s="782"/>
      <c r="HX52" s="782"/>
      <c r="HY52" s="782"/>
      <c r="HZ52" s="782"/>
      <c r="IA52" s="782"/>
      <c r="IB52" s="782"/>
      <c r="IC52" s="782"/>
      <c r="ID52" s="782"/>
      <c r="IE52" s="782"/>
      <c r="IF52" s="782"/>
      <c r="IG52" s="782"/>
      <c r="IH52" s="782"/>
      <c r="II52" s="782"/>
      <c r="IJ52" s="782"/>
      <c r="IK52" s="782"/>
      <c r="IL52" s="782"/>
      <c r="IM52" s="782"/>
      <c r="IN52" s="782"/>
      <c r="IO52" s="782"/>
      <c r="IP52" s="782"/>
      <c r="IQ52" s="782"/>
      <c r="IR52" s="782"/>
      <c r="IS52" s="782"/>
      <c r="IT52" s="782"/>
      <c r="IU52" s="782"/>
      <c r="IV52" s="782"/>
      <c r="IW52" s="782"/>
      <c r="IX52" s="782"/>
      <c r="IY52" s="782"/>
      <c r="IZ52" s="782"/>
      <c r="JA52" s="782"/>
      <c r="JB52" s="782"/>
      <c r="JC52" s="782"/>
      <c r="JD52" s="782"/>
      <c r="JE52" s="782"/>
      <c r="JF52" s="782"/>
      <c r="JG52" s="782"/>
      <c r="JH52" s="782"/>
      <c r="JI52" s="782"/>
      <c r="JJ52" s="782"/>
      <c r="JK52" s="782"/>
      <c r="JL52" s="782"/>
      <c r="JM52" s="782"/>
      <c r="JN52" s="782"/>
      <c r="JO52" s="782"/>
      <c r="JP52" s="782"/>
      <c r="JQ52" s="782"/>
      <c r="JR52" s="782"/>
      <c r="JS52" s="782"/>
      <c r="JT52" s="782"/>
      <c r="JU52" s="782"/>
      <c r="JV52" s="782"/>
      <c r="JW52" s="782"/>
      <c r="JX52" s="782"/>
      <c r="JY52" s="782"/>
      <c r="JZ52" s="782"/>
      <c r="KA52" s="782"/>
      <c r="KB52" s="782"/>
      <c r="KC52" s="782"/>
      <c r="KD52" s="782"/>
      <c r="KE52" s="782"/>
      <c r="KF52" s="782"/>
      <c r="KG52" s="782"/>
      <c r="KH52" s="782"/>
      <c r="KI52" s="782"/>
      <c r="KJ52" s="782"/>
      <c r="KK52" s="782"/>
      <c r="KL52" s="782"/>
      <c r="KM52" s="782"/>
      <c r="KN52" s="782"/>
      <c r="KO52" s="782"/>
      <c r="KP52" s="782"/>
      <c r="KQ52" s="782"/>
      <c r="KR52" s="782"/>
      <c r="KS52" s="782"/>
      <c r="KT52" s="782"/>
      <c r="KU52" s="782"/>
      <c r="KV52" s="782"/>
      <c r="KW52" s="782"/>
      <c r="KX52" s="782"/>
      <c r="KY52" s="782"/>
      <c r="KZ52" s="782"/>
      <c r="LA52" s="782"/>
      <c r="LB52" s="782"/>
      <c r="LC52" s="782"/>
      <c r="LD52" s="782"/>
      <c r="LE52" s="782"/>
      <c r="LF52" s="782"/>
      <c r="LG52" s="782"/>
      <c r="LH52" s="782"/>
      <c r="LI52" s="782"/>
      <c r="LJ52" s="782"/>
      <c r="LK52" s="782"/>
      <c r="LL52" s="782"/>
      <c r="LM52" s="782"/>
      <c r="LN52" s="782"/>
      <c r="LO52" s="782"/>
      <c r="LP52" s="782"/>
      <c r="LQ52" s="782"/>
      <c r="LR52" s="782"/>
      <c r="LS52" s="782"/>
      <c r="LT52" s="782"/>
      <c r="LU52" s="782"/>
      <c r="LV52" s="782"/>
      <c r="LW52" s="782"/>
      <c r="LX52" s="782"/>
      <c r="LY52" s="782"/>
      <c r="LZ52" s="782"/>
      <c r="MA52" s="782"/>
      <c r="MB52" s="782"/>
      <c r="MC52" s="782"/>
      <c r="MD52" s="782"/>
      <c r="ME52" s="782"/>
      <c r="MF52" s="782"/>
      <c r="MG52" s="782"/>
      <c r="MH52" s="782"/>
      <c r="MI52" s="782"/>
      <c r="MJ52" s="782"/>
      <c r="MK52" s="782"/>
      <c r="ML52" s="782"/>
      <c r="MM52" s="782"/>
      <c r="MN52" s="782"/>
      <c r="MO52" s="782"/>
      <c r="MP52" s="782"/>
      <c r="MQ52" s="782"/>
      <c r="MR52" s="782"/>
      <c r="MS52" s="782"/>
      <c r="MT52" s="782"/>
      <c r="MU52" s="782"/>
      <c r="MV52" s="782"/>
      <c r="MW52" s="782"/>
      <c r="MX52" s="782"/>
      <c r="MY52" s="782"/>
      <c r="MZ52" s="782"/>
      <c r="NA52" s="782"/>
      <c r="NB52" s="782"/>
      <c r="NC52" s="782"/>
      <c r="ND52" s="782"/>
      <c r="NE52" s="782"/>
      <c r="NF52" s="782"/>
      <c r="NG52" s="782"/>
      <c r="NH52" s="782"/>
      <c r="NI52" s="782"/>
      <c r="NJ52" s="782"/>
      <c r="NK52" s="782"/>
      <c r="NL52" s="782"/>
      <c r="NM52" s="782"/>
      <c r="NN52" s="782"/>
      <c r="NO52" s="782"/>
      <c r="NP52" s="782"/>
      <c r="NQ52" s="782"/>
      <c r="NR52" s="782"/>
      <c r="NS52" s="782"/>
      <c r="NT52" s="782"/>
      <c r="NU52" s="782"/>
      <c r="NV52" s="782"/>
      <c r="NW52" s="782"/>
      <c r="NX52" s="782"/>
      <c r="NY52" s="782"/>
      <c r="NZ52" s="782"/>
      <c r="OA52" s="782"/>
      <c r="OB52" s="782"/>
      <c r="OC52" s="782"/>
      <c r="OD52" s="782"/>
      <c r="OE52" s="782"/>
      <c r="OF52" s="782"/>
      <c r="OG52" s="782"/>
      <c r="OH52" s="782"/>
      <c r="OI52" s="782"/>
      <c r="OJ52" s="782"/>
      <c r="OK52" s="782"/>
      <c r="OL52" s="782"/>
      <c r="OM52" s="782"/>
      <c r="ON52" s="782"/>
      <c r="OO52" s="782"/>
      <c r="OP52" s="782"/>
      <c r="OQ52" s="782"/>
      <c r="OR52" s="782"/>
      <c r="OS52" s="782"/>
      <c r="OT52" s="782"/>
      <c r="OU52" s="782"/>
      <c r="OV52" s="782"/>
      <c r="OW52" s="782"/>
      <c r="OX52" s="782"/>
      <c r="OY52" s="782"/>
      <c r="OZ52" s="782"/>
      <c r="PA52" s="782"/>
      <c r="PB52" s="782"/>
      <c r="PC52" s="782"/>
      <c r="PD52" s="782"/>
      <c r="PE52" s="782"/>
      <c r="PF52" s="782"/>
      <c r="PG52" s="782"/>
      <c r="PH52" s="782"/>
      <c r="PI52" s="782"/>
      <c r="PJ52" s="782"/>
      <c r="PK52" s="782"/>
      <c r="PL52" s="782"/>
      <c r="PM52" s="782"/>
      <c r="PN52" s="782"/>
      <c r="PO52" s="782"/>
      <c r="PP52" s="782"/>
      <c r="PQ52" s="782"/>
      <c r="PR52" s="782"/>
      <c r="PS52" s="782"/>
      <c r="PT52" s="782"/>
      <c r="PU52" s="782"/>
      <c r="PV52" s="782"/>
      <c r="PW52" s="782"/>
      <c r="PX52" s="782"/>
      <c r="PY52" s="782"/>
      <c r="PZ52" s="782"/>
      <c r="QA52" s="782"/>
      <c r="QB52" s="782"/>
      <c r="QC52" s="782"/>
      <c r="QD52" s="782"/>
      <c r="QE52" s="782"/>
      <c r="QF52" s="782"/>
      <c r="QG52" s="782"/>
      <c r="QH52" s="782"/>
      <c r="QI52" s="782"/>
      <c r="QJ52" s="782"/>
      <c r="QK52" s="782"/>
      <c r="QL52" s="782"/>
      <c r="QM52" s="782"/>
      <c r="QN52" s="782"/>
      <c r="QO52" s="782"/>
      <c r="QP52" s="782"/>
      <c r="QQ52" s="782"/>
      <c r="QR52" s="782"/>
      <c r="QS52" s="782"/>
      <c r="QT52" s="782"/>
      <c r="QU52" s="782"/>
      <c r="QV52" s="782"/>
      <c r="QW52" s="782"/>
      <c r="QX52" s="782"/>
      <c r="QY52" s="782"/>
      <c r="QZ52" s="782"/>
      <c r="RA52" s="782"/>
      <c r="RB52" s="782"/>
      <c r="RC52" s="782"/>
      <c r="RD52" s="782"/>
      <c r="RE52" s="782"/>
      <c r="RF52" s="782"/>
      <c r="RG52" s="782"/>
      <c r="RH52" s="782"/>
      <c r="RI52" s="782"/>
      <c r="RJ52" s="782"/>
      <c r="RK52" s="782"/>
      <c r="RL52" s="782"/>
      <c r="RM52" s="782"/>
      <c r="RN52" s="782"/>
      <c r="RO52" s="782"/>
      <c r="RP52" s="782"/>
      <c r="RQ52" s="782"/>
      <c r="RR52" s="782"/>
      <c r="RS52" s="782"/>
      <c r="RT52" s="782"/>
      <c r="RU52" s="782"/>
      <c r="RV52" s="782"/>
      <c r="RW52" s="782"/>
      <c r="RX52" s="782"/>
    </row>
    <row r="53" spans="1:492" s="143" customFormat="1">
      <c r="A53" s="782"/>
      <c r="B53" s="782"/>
      <c r="C53" s="782"/>
      <c r="D53" s="782"/>
      <c r="E53" s="782"/>
      <c r="F53" s="782"/>
      <c r="G53" s="782"/>
      <c r="H53" s="782"/>
      <c r="I53" s="782"/>
      <c r="J53" s="782"/>
      <c r="K53" s="782"/>
      <c r="L53" s="782"/>
      <c r="M53" s="782"/>
      <c r="N53" s="782"/>
      <c r="O53" s="782"/>
      <c r="P53" s="782"/>
      <c r="Q53" s="782"/>
      <c r="R53" s="782"/>
      <c r="S53" s="782"/>
      <c r="T53" s="782"/>
      <c r="U53" s="782"/>
      <c r="V53" s="782"/>
      <c r="W53" s="782"/>
      <c r="X53" s="782"/>
      <c r="Y53" s="782"/>
      <c r="Z53" s="782"/>
      <c r="AA53" s="782"/>
      <c r="AB53" s="782"/>
      <c r="AC53" s="782"/>
      <c r="AD53" s="782"/>
      <c r="AE53" s="782"/>
      <c r="AF53" s="782"/>
      <c r="AG53" s="782"/>
      <c r="AH53" s="782"/>
      <c r="AI53" s="782"/>
      <c r="AJ53" s="782"/>
      <c r="AK53" s="782"/>
      <c r="AL53" s="782"/>
      <c r="AM53" s="785"/>
      <c r="AN53" s="785"/>
      <c r="AO53" s="785"/>
      <c r="AP53" s="785"/>
      <c r="AQ53" s="785"/>
      <c r="AR53" s="785"/>
      <c r="AS53" s="785"/>
      <c r="AT53" s="785"/>
      <c r="AU53" s="785"/>
      <c r="AV53" s="785"/>
      <c r="AW53" s="790"/>
      <c r="AX53" s="790"/>
      <c r="AY53" s="790"/>
      <c r="AZ53" s="790"/>
      <c r="BA53" s="785"/>
      <c r="BB53" s="785"/>
      <c r="BC53" s="785"/>
      <c r="BD53" s="785"/>
      <c r="BE53" s="785"/>
      <c r="BF53" s="785"/>
      <c r="BG53" s="785"/>
      <c r="BH53" s="785"/>
      <c r="BI53" s="785"/>
      <c r="BJ53" s="785"/>
      <c r="BK53" s="785"/>
      <c r="BL53" s="785"/>
      <c r="BM53" s="785"/>
      <c r="BN53" s="785"/>
      <c r="BO53" s="785"/>
      <c r="BP53" s="785"/>
      <c r="BQ53" s="785"/>
      <c r="BR53" s="785"/>
      <c r="BS53" s="785"/>
      <c r="BT53" s="785"/>
      <c r="BU53" s="785"/>
      <c r="BV53" s="785"/>
      <c r="BW53" s="785"/>
      <c r="BX53" s="785"/>
      <c r="BY53" s="785"/>
      <c r="BZ53" s="785"/>
      <c r="CA53" s="782"/>
      <c r="CB53" s="782"/>
      <c r="CC53" s="782"/>
      <c r="CD53" s="782"/>
      <c r="CE53" s="782"/>
      <c r="CF53" s="782"/>
      <c r="CG53" s="782"/>
      <c r="CH53" s="782"/>
      <c r="CI53" s="782"/>
      <c r="CJ53" s="782"/>
      <c r="CK53" s="782"/>
      <c r="CL53" s="782"/>
      <c r="CM53" s="782"/>
      <c r="CN53" s="782"/>
      <c r="CO53" s="782"/>
      <c r="CP53" s="782"/>
      <c r="CQ53" s="782"/>
      <c r="CR53" s="782"/>
      <c r="CS53" s="782"/>
      <c r="CT53" s="782"/>
      <c r="CU53" s="782"/>
      <c r="CV53" s="782"/>
      <c r="CW53" s="782"/>
      <c r="CX53" s="782"/>
      <c r="CY53" s="782"/>
      <c r="CZ53" s="782"/>
      <c r="DA53" s="782"/>
      <c r="DB53" s="782"/>
      <c r="DC53" s="782"/>
      <c r="DD53" s="782"/>
      <c r="DE53" s="782"/>
      <c r="DF53" s="782"/>
      <c r="DG53" s="782"/>
      <c r="DH53" s="782"/>
      <c r="DI53" s="782"/>
      <c r="DJ53" s="782"/>
      <c r="DK53" s="782"/>
      <c r="DL53" s="782"/>
      <c r="DM53" s="782"/>
      <c r="DN53" s="782"/>
      <c r="DO53" s="782"/>
      <c r="DP53" s="782"/>
      <c r="DQ53" s="782"/>
      <c r="DR53" s="782"/>
      <c r="DS53" s="782"/>
      <c r="DT53" s="782"/>
      <c r="DU53" s="782"/>
      <c r="DV53" s="782"/>
      <c r="DW53" s="782"/>
      <c r="DX53" s="782"/>
      <c r="DY53" s="782"/>
      <c r="DZ53" s="782"/>
      <c r="EA53" s="782"/>
      <c r="EB53" s="782"/>
      <c r="EC53" s="782"/>
      <c r="ED53" s="782"/>
      <c r="EE53" s="782"/>
      <c r="EF53" s="782"/>
      <c r="EG53" s="782"/>
      <c r="EH53" s="782"/>
      <c r="EI53" s="782"/>
      <c r="EJ53" s="782"/>
      <c r="EK53" s="782"/>
      <c r="EL53" s="782"/>
      <c r="EM53" s="782"/>
      <c r="EN53" s="782"/>
      <c r="EO53" s="782"/>
      <c r="EP53" s="782"/>
      <c r="EQ53" s="782"/>
      <c r="ER53" s="782"/>
      <c r="ES53" s="782"/>
      <c r="ET53" s="782"/>
      <c r="EU53" s="782"/>
      <c r="EV53" s="782"/>
      <c r="EW53" s="782"/>
      <c r="EX53" s="782"/>
      <c r="EY53" s="782"/>
      <c r="EZ53" s="782"/>
      <c r="FA53" s="782"/>
      <c r="FB53" s="782"/>
      <c r="FC53" s="782"/>
      <c r="FD53" s="782"/>
      <c r="FE53" s="782"/>
      <c r="FF53" s="782"/>
      <c r="FG53" s="782"/>
      <c r="FH53" s="782"/>
      <c r="FI53" s="782"/>
      <c r="FJ53" s="782"/>
      <c r="FK53" s="782"/>
      <c r="FL53" s="782"/>
      <c r="FM53" s="782"/>
      <c r="FN53" s="782"/>
      <c r="FO53" s="782"/>
      <c r="FP53" s="782"/>
      <c r="FQ53" s="782"/>
      <c r="FR53" s="782"/>
      <c r="FS53" s="782"/>
      <c r="FT53" s="782"/>
      <c r="FU53" s="782"/>
      <c r="FV53" s="782"/>
      <c r="FW53" s="782"/>
      <c r="FX53" s="782"/>
      <c r="FY53" s="782"/>
      <c r="FZ53" s="782"/>
      <c r="GA53" s="782"/>
      <c r="GB53" s="782"/>
      <c r="GC53" s="782"/>
      <c r="GD53" s="782"/>
      <c r="GE53" s="782"/>
      <c r="GF53" s="782"/>
      <c r="GG53" s="782"/>
      <c r="GH53" s="782"/>
      <c r="GI53" s="782"/>
      <c r="GJ53" s="782"/>
      <c r="GK53" s="782"/>
      <c r="GL53" s="782"/>
      <c r="GM53" s="782"/>
      <c r="GN53" s="782"/>
      <c r="GO53" s="782"/>
      <c r="GP53" s="782"/>
      <c r="GQ53" s="782"/>
      <c r="GR53" s="782"/>
      <c r="GS53" s="782"/>
      <c r="GT53" s="782"/>
      <c r="GU53" s="782"/>
      <c r="GV53" s="782"/>
      <c r="GW53" s="782"/>
      <c r="GX53" s="782"/>
      <c r="GY53" s="782"/>
      <c r="GZ53" s="782"/>
      <c r="HA53" s="782"/>
      <c r="HB53" s="782"/>
      <c r="HC53" s="782"/>
      <c r="HD53" s="782"/>
      <c r="HE53" s="782"/>
      <c r="HF53" s="782"/>
      <c r="HG53" s="782"/>
      <c r="HH53" s="782"/>
      <c r="HI53" s="782"/>
      <c r="HJ53" s="782"/>
      <c r="HK53" s="782"/>
      <c r="HL53" s="782"/>
      <c r="HM53" s="782"/>
      <c r="HN53" s="782"/>
      <c r="HO53" s="782"/>
      <c r="HP53" s="782"/>
      <c r="HQ53" s="782"/>
      <c r="HR53" s="782"/>
      <c r="HS53" s="782"/>
      <c r="HT53" s="782"/>
      <c r="HU53" s="782"/>
      <c r="HV53" s="782"/>
      <c r="HW53" s="782"/>
      <c r="HX53" s="782"/>
      <c r="HY53" s="782"/>
      <c r="HZ53" s="782"/>
      <c r="IA53" s="782"/>
      <c r="IB53" s="782"/>
      <c r="IC53" s="782"/>
      <c r="ID53" s="782"/>
      <c r="IE53" s="782"/>
      <c r="IF53" s="782"/>
      <c r="IG53" s="782"/>
      <c r="IH53" s="782"/>
      <c r="II53" s="782"/>
      <c r="IJ53" s="782"/>
      <c r="IK53" s="782"/>
      <c r="IL53" s="782"/>
      <c r="IM53" s="782"/>
      <c r="IN53" s="782"/>
      <c r="IO53" s="782"/>
      <c r="IP53" s="782"/>
      <c r="IQ53" s="782"/>
      <c r="IR53" s="782"/>
      <c r="IS53" s="782"/>
      <c r="IT53" s="782"/>
      <c r="IU53" s="782"/>
      <c r="IV53" s="782"/>
      <c r="IW53" s="782"/>
      <c r="IX53" s="782"/>
      <c r="IY53" s="782"/>
      <c r="IZ53" s="782"/>
      <c r="JA53" s="782"/>
      <c r="JB53" s="782"/>
      <c r="JC53" s="782"/>
      <c r="JD53" s="782"/>
      <c r="JE53" s="782"/>
      <c r="JF53" s="782"/>
      <c r="JG53" s="782"/>
      <c r="JH53" s="782"/>
      <c r="JI53" s="782"/>
      <c r="JJ53" s="782"/>
      <c r="JK53" s="782"/>
      <c r="JL53" s="782"/>
      <c r="JM53" s="782"/>
      <c r="JN53" s="782"/>
      <c r="JO53" s="782"/>
      <c r="JP53" s="782"/>
      <c r="JQ53" s="782"/>
      <c r="JR53" s="782"/>
      <c r="JS53" s="782"/>
      <c r="JT53" s="782"/>
      <c r="JU53" s="782"/>
      <c r="JV53" s="782"/>
      <c r="JW53" s="782"/>
      <c r="JX53" s="782"/>
      <c r="JY53" s="782"/>
      <c r="JZ53" s="782"/>
      <c r="KA53" s="782"/>
      <c r="KB53" s="782"/>
      <c r="KC53" s="782"/>
      <c r="KD53" s="782"/>
      <c r="KE53" s="782"/>
      <c r="KF53" s="782"/>
      <c r="KG53" s="782"/>
      <c r="KH53" s="782"/>
      <c r="KI53" s="782"/>
      <c r="KJ53" s="782"/>
      <c r="KK53" s="782"/>
      <c r="KL53" s="782"/>
      <c r="KM53" s="782"/>
      <c r="KN53" s="782"/>
      <c r="KO53" s="782"/>
      <c r="KP53" s="782"/>
      <c r="KQ53" s="782"/>
      <c r="KR53" s="782"/>
      <c r="KS53" s="782"/>
      <c r="KT53" s="782"/>
      <c r="KU53" s="782"/>
      <c r="KV53" s="782"/>
      <c r="KW53" s="782"/>
      <c r="KX53" s="782"/>
      <c r="KY53" s="782"/>
      <c r="KZ53" s="782"/>
      <c r="LA53" s="782"/>
      <c r="LB53" s="782"/>
      <c r="LC53" s="782"/>
      <c r="LD53" s="782"/>
      <c r="LE53" s="782"/>
      <c r="LF53" s="782"/>
      <c r="LG53" s="782"/>
      <c r="LH53" s="782"/>
      <c r="LI53" s="782"/>
      <c r="LJ53" s="782"/>
      <c r="LK53" s="782"/>
      <c r="LL53" s="782"/>
      <c r="LM53" s="782"/>
      <c r="LN53" s="782"/>
      <c r="LO53" s="782"/>
      <c r="LP53" s="782"/>
      <c r="LQ53" s="782"/>
      <c r="LR53" s="782"/>
      <c r="LS53" s="782"/>
      <c r="LT53" s="782"/>
      <c r="LU53" s="782"/>
      <c r="LV53" s="782"/>
      <c r="LW53" s="782"/>
      <c r="LX53" s="782"/>
      <c r="LY53" s="782"/>
      <c r="LZ53" s="782"/>
      <c r="MA53" s="782"/>
      <c r="MB53" s="782"/>
      <c r="MC53" s="782"/>
      <c r="MD53" s="782"/>
      <c r="ME53" s="782"/>
      <c r="MF53" s="782"/>
      <c r="MG53" s="782"/>
      <c r="MH53" s="782"/>
      <c r="MI53" s="782"/>
      <c r="MJ53" s="782"/>
      <c r="MK53" s="782"/>
      <c r="ML53" s="782"/>
      <c r="MM53" s="782"/>
      <c r="MN53" s="782"/>
      <c r="MO53" s="782"/>
      <c r="MP53" s="782"/>
      <c r="MQ53" s="782"/>
      <c r="MR53" s="782"/>
      <c r="MS53" s="782"/>
      <c r="MT53" s="782"/>
      <c r="MU53" s="782"/>
      <c r="MV53" s="782"/>
      <c r="MW53" s="782"/>
      <c r="MX53" s="782"/>
      <c r="MY53" s="782"/>
      <c r="MZ53" s="782"/>
      <c r="NA53" s="782"/>
      <c r="NB53" s="782"/>
      <c r="NC53" s="782"/>
      <c r="ND53" s="782"/>
      <c r="NE53" s="782"/>
      <c r="NF53" s="782"/>
      <c r="NG53" s="782"/>
      <c r="NH53" s="782"/>
      <c r="NI53" s="782"/>
      <c r="NJ53" s="782"/>
      <c r="NK53" s="782"/>
      <c r="NL53" s="782"/>
      <c r="NM53" s="782"/>
      <c r="NN53" s="782"/>
      <c r="NO53" s="782"/>
      <c r="NP53" s="782"/>
      <c r="NQ53" s="782"/>
      <c r="NR53" s="782"/>
      <c r="NS53" s="782"/>
      <c r="NT53" s="782"/>
      <c r="NU53" s="782"/>
      <c r="NV53" s="782"/>
      <c r="NW53" s="782"/>
      <c r="NX53" s="782"/>
      <c r="NY53" s="782"/>
      <c r="NZ53" s="782"/>
      <c r="OA53" s="782"/>
      <c r="OB53" s="782"/>
      <c r="OC53" s="782"/>
      <c r="OD53" s="782"/>
      <c r="OE53" s="782"/>
      <c r="OF53" s="782"/>
      <c r="OG53" s="782"/>
      <c r="OH53" s="782"/>
      <c r="OI53" s="782"/>
      <c r="OJ53" s="782"/>
      <c r="OK53" s="782"/>
      <c r="OL53" s="782"/>
      <c r="OM53" s="782"/>
      <c r="ON53" s="782"/>
      <c r="OO53" s="782"/>
      <c r="OP53" s="782"/>
      <c r="OQ53" s="782"/>
      <c r="OR53" s="782"/>
      <c r="OS53" s="782"/>
      <c r="OT53" s="782"/>
      <c r="OU53" s="782"/>
      <c r="OV53" s="782"/>
      <c r="OW53" s="782"/>
      <c r="OX53" s="782"/>
      <c r="OY53" s="782"/>
      <c r="OZ53" s="782"/>
      <c r="PA53" s="782"/>
      <c r="PB53" s="782"/>
      <c r="PC53" s="782"/>
      <c r="PD53" s="782"/>
      <c r="PE53" s="782"/>
      <c r="PF53" s="782"/>
      <c r="PG53" s="782"/>
      <c r="PH53" s="782"/>
      <c r="PI53" s="782"/>
      <c r="PJ53" s="782"/>
      <c r="PK53" s="782"/>
      <c r="PL53" s="782"/>
      <c r="PM53" s="782"/>
      <c r="PN53" s="782"/>
      <c r="PO53" s="782"/>
      <c r="PP53" s="782"/>
      <c r="PQ53" s="782"/>
      <c r="PR53" s="782"/>
      <c r="PS53" s="782"/>
      <c r="PT53" s="782"/>
      <c r="PU53" s="782"/>
      <c r="PV53" s="782"/>
      <c r="PW53" s="782"/>
      <c r="PX53" s="782"/>
      <c r="PY53" s="782"/>
      <c r="PZ53" s="782"/>
      <c r="QA53" s="782"/>
      <c r="QB53" s="782"/>
      <c r="QC53" s="782"/>
      <c r="QD53" s="782"/>
      <c r="QE53" s="782"/>
      <c r="QF53" s="782"/>
      <c r="QG53" s="782"/>
      <c r="QH53" s="782"/>
      <c r="QI53" s="782"/>
      <c r="QJ53" s="782"/>
      <c r="QK53" s="782"/>
      <c r="QL53" s="782"/>
      <c r="QM53" s="782"/>
      <c r="QN53" s="782"/>
      <c r="QO53" s="782"/>
      <c r="QP53" s="782"/>
      <c r="QQ53" s="782"/>
      <c r="QR53" s="782"/>
      <c r="QS53" s="782"/>
      <c r="QT53" s="782"/>
      <c r="QU53" s="782"/>
      <c r="QV53" s="782"/>
      <c r="QW53" s="782"/>
      <c r="QX53" s="782"/>
      <c r="QY53" s="782"/>
      <c r="QZ53" s="782"/>
      <c r="RA53" s="782"/>
      <c r="RB53" s="782"/>
      <c r="RC53" s="782"/>
      <c r="RD53" s="782"/>
      <c r="RE53" s="782"/>
      <c r="RF53" s="782"/>
      <c r="RG53" s="782"/>
      <c r="RH53" s="782"/>
      <c r="RI53" s="782"/>
      <c r="RJ53" s="782"/>
      <c r="RK53" s="782"/>
      <c r="RL53" s="782"/>
      <c r="RM53" s="782"/>
      <c r="RN53" s="782"/>
      <c r="RO53" s="782"/>
      <c r="RP53" s="782"/>
      <c r="RQ53" s="782"/>
      <c r="RR53" s="782"/>
      <c r="RS53" s="782"/>
      <c r="RT53" s="782"/>
      <c r="RU53" s="782"/>
      <c r="RV53" s="782"/>
      <c r="RW53" s="782"/>
      <c r="RX53" s="782"/>
    </row>
    <row r="54" spans="1:492" s="143" customFormat="1">
      <c r="A54" s="782"/>
      <c r="B54" s="782"/>
      <c r="C54" s="782"/>
      <c r="D54" s="782"/>
      <c r="E54" s="782"/>
      <c r="F54" s="782"/>
      <c r="G54" s="782"/>
      <c r="H54" s="782"/>
      <c r="I54" s="782"/>
      <c r="J54" s="782"/>
      <c r="K54" s="782"/>
      <c r="L54" s="782"/>
      <c r="M54" s="782"/>
      <c r="N54" s="782"/>
      <c r="O54" s="782"/>
      <c r="P54" s="782"/>
      <c r="Q54" s="782"/>
      <c r="R54" s="782"/>
      <c r="S54" s="782"/>
      <c r="T54" s="782"/>
      <c r="U54" s="782"/>
      <c r="V54" s="782"/>
      <c r="W54" s="782"/>
      <c r="X54" s="782"/>
      <c r="Y54" s="782"/>
      <c r="Z54" s="782"/>
      <c r="AA54" s="782"/>
      <c r="AB54" s="782"/>
      <c r="AC54" s="782"/>
      <c r="AD54" s="782"/>
      <c r="AE54" s="782"/>
      <c r="AF54" s="782"/>
      <c r="AG54" s="782"/>
      <c r="AH54" s="782"/>
      <c r="AI54" s="782"/>
      <c r="AJ54" s="782"/>
      <c r="AK54" s="782"/>
      <c r="AL54" s="782"/>
      <c r="AM54" s="785"/>
      <c r="AN54" s="785"/>
      <c r="AO54" s="785"/>
      <c r="AP54" s="785"/>
      <c r="AQ54" s="785"/>
      <c r="AR54" s="785"/>
      <c r="AS54" s="785"/>
      <c r="AT54" s="785"/>
      <c r="AU54" s="785"/>
      <c r="AV54" s="785"/>
      <c r="AW54" s="790"/>
      <c r="AX54" s="790"/>
      <c r="AY54" s="790"/>
      <c r="AZ54" s="790"/>
      <c r="BA54" s="785"/>
      <c r="BB54" s="785"/>
      <c r="BC54" s="785"/>
      <c r="BD54" s="785"/>
      <c r="BE54" s="785"/>
      <c r="BF54" s="785"/>
      <c r="BG54" s="785"/>
      <c r="BH54" s="785"/>
      <c r="BI54" s="785"/>
      <c r="BJ54" s="785"/>
      <c r="BK54" s="785"/>
      <c r="BL54" s="785"/>
      <c r="BM54" s="785"/>
      <c r="BN54" s="785"/>
      <c r="BO54" s="785"/>
      <c r="BP54" s="785"/>
      <c r="BQ54" s="785"/>
      <c r="BR54" s="785"/>
      <c r="BS54" s="785"/>
      <c r="BT54" s="785"/>
      <c r="BU54" s="785"/>
      <c r="BV54" s="785"/>
      <c r="BW54" s="785"/>
      <c r="BX54" s="785"/>
      <c r="BY54" s="785"/>
      <c r="BZ54" s="785"/>
      <c r="CA54" s="782"/>
      <c r="CB54" s="782"/>
      <c r="CC54" s="782"/>
      <c r="CD54" s="782"/>
      <c r="CE54" s="782"/>
      <c r="CF54" s="782"/>
      <c r="CG54" s="782"/>
      <c r="CH54" s="782"/>
      <c r="CI54" s="782"/>
      <c r="CJ54" s="782"/>
      <c r="CK54" s="782"/>
      <c r="CL54" s="782"/>
      <c r="CM54" s="782"/>
      <c r="CN54" s="782"/>
      <c r="CO54" s="782"/>
      <c r="CP54" s="782"/>
      <c r="CQ54" s="782"/>
      <c r="CR54" s="782"/>
      <c r="CS54" s="782"/>
      <c r="CT54" s="782"/>
      <c r="CU54" s="782"/>
      <c r="CV54" s="782"/>
      <c r="CW54" s="782"/>
      <c r="CX54" s="782"/>
      <c r="CY54" s="782"/>
      <c r="CZ54" s="782"/>
      <c r="DA54" s="782"/>
      <c r="DB54" s="782"/>
      <c r="DC54" s="782"/>
      <c r="DD54" s="782"/>
      <c r="DE54" s="782"/>
      <c r="DF54" s="782"/>
      <c r="DG54" s="782"/>
      <c r="DH54" s="782"/>
      <c r="DI54" s="782"/>
      <c r="DJ54" s="782"/>
      <c r="DK54" s="782"/>
      <c r="DL54" s="782"/>
      <c r="DM54" s="782"/>
      <c r="DN54" s="782"/>
      <c r="DO54" s="782"/>
      <c r="DP54" s="782"/>
      <c r="DQ54" s="782"/>
      <c r="DR54" s="782"/>
      <c r="DS54" s="782"/>
      <c r="DT54" s="782"/>
      <c r="DU54" s="782"/>
      <c r="DV54" s="782"/>
      <c r="DW54" s="782"/>
      <c r="DX54" s="782"/>
      <c r="DY54" s="782"/>
      <c r="DZ54" s="782"/>
      <c r="EA54" s="782"/>
      <c r="EB54" s="782"/>
      <c r="EC54" s="782"/>
      <c r="ED54" s="782"/>
      <c r="EE54" s="782"/>
      <c r="EF54" s="782"/>
      <c r="EG54" s="782"/>
      <c r="EH54" s="782"/>
      <c r="EI54" s="782"/>
      <c r="EJ54" s="782"/>
      <c r="EK54" s="782"/>
      <c r="EL54" s="782"/>
      <c r="EM54" s="782"/>
      <c r="EN54" s="782"/>
      <c r="EO54" s="782"/>
      <c r="EP54" s="782"/>
      <c r="EQ54" s="782"/>
      <c r="ER54" s="782"/>
      <c r="ES54" s="782"/>
      <c r="ET54" s="782"/>
      <c r="EU54" s="782"/>
      <c r="EV54" s="782"/>
      <c r="EW54" s="782"/>
      <c r="EX54" s="782"/>
      <c r="EY54" s="782"/>
      <c r="EZ54" s="782"/>
      <c r="FA54" s="782"/>
      <c r="FB54" s="782"/>
      <c r="FC54" s="782"/>
      <c r="FD54" s="782"/>
      <c r="FE54" s="782"/>
      <c r="FF54" s="782"/>
      <c r="FG54" s="782"/>
      <c r="FH54" s="782"/>
      <c r="FI54" s="782"/>
      <c r="FJ54" s="782"/>
      <c r="FK54" s="782"/>
      <c r="FL54" s="782"/>
      <c r="FM54" s="782"/>
      <c r="FN54" s="782"/>
      <c r="FO54" s="782"/>
      <c r="FP54" s="782"/>
      <c r="FQ54" s="782"/>
      <c r="FR54" s="782"/>
      <c r="FS54" s="782"/>
      <c r="FT54" s="782"/>
      <c r="FU54" s="782"/>
      <c r="FV54" s="782"/>
      <c r="FW54" s="782"/>
      <c r="FX54" s="782"/>
      <c r="FY54" s="782"/>
      <c r="FZ54" s="782"/>
      <c r="GA54" s="782"/>
      <c r="GB54" s="782"/>
      <c r="GC54" s="782"/>
      <c r="GD54" s="782"/>
      <c r="GE54" s="782"/>
      <c r="GF54" s="782"/>
      <c r="GG54" s="782"/>
      <c r="GH54" s="782"/>
      <c r="GI54" s="782"/>
      <c r="GJ54" s="782"/>
      <c r="GK54" s="782"/>
      <c r="GL54" s="782"/>
      <c r="GM54" s="782"/>
      <c r="GN54" s="782"/>
      <c r="GO54" s="782"/>
      <c r="GP54" s="782"/>
      <c r="GQ54" s="782"/>
      <c r="GR54" s="782"/>
      <c r="GS54" s="782"/>
      <c r="GT54" s="782"/>
      <c r="GU54" s="782"/>
      <c r="GV54" s="782"/>
      <c r="GW54" s="782"/>
      <c r="GX54" s="782"/>
      <c r="GY54" s="782"/>
      <c r="GZ54" s="782"/>
      <c r="HA54" s="782"/>
      <c r="HB54" s="782"/>
      <c r="HC54" s="782"/>
      <c r="HD54" s="782"/>
      <c r="HE54" s="782"/>
      <c r="HF54" s="782"/>
      <c r="HG54" s="782"/>
      <c r="HH54" s="782"/>
      <c r="HI54" s="782"/>
      <c r="HJ54" s="782"/>
      <c r="HK54" s="782"/>
      <c r="HL54" s="782"/>
      <c r="HM54" s="782"/>
      <c r="HN54" s="782"/>
      <c r="HO54" s="782"/>
      <c r="HP54" s="782"/>
      <c r="HQ54" s="782"/>
      <c r="HR54" s="782"/>
      <c r="HS54" s="782"/>
      <c r="HT54" s="782"/>
      <c r="HU54" s="782"/>
      <c r="HV54" s="782"/>
      <c r="HW54" s="782"/>
      <c r="HX54" s="782"/>
      <c r="HY54" s="782"/>
      <c r="HZ54" s="782"/>
      <c r="IA54" s="782"/>
      <c r="IB54" s="782"/>
      <c r="IC54" s="782"/>
      <c r="ID54" s="782"/>
      <c r="IE54" s="782"/>
      <c r="IF54" s="782"/>
      <c r="IG54" s="782"/>
      <c r="IH54" s="782"/>
      <c r="II54" s="782"/>
      <c r="IJ54" s="782"/>
      <c r="IK54" s="782"/>
      <c r="IL54" s="782"/>
      <c r="IM54" s="782"/>
      <c r="IN54" s="782"/>
      <c r="IO54" s="782"/>
      <c r="IP54" s="782"/>
      <c r="IQ54" s="782"/>
      <c r="IR54" s="782"/>
      <c r="IS54" s="782"/>
      <c r="IT54" s="782"/>
      <c r="IU54" s="782"/>
      <c r="IV54" s="782"/>
      <c r="IW54" s="782"/>
      <c r="IX54" s="782"/>
      <c r="IY54" s="782"/>
      <c r="IZ54" s="782"/>
      <c r="JA54" s="782"/>
      <c r="JB54" s="782"/>
      <c r="JC54" s="782"/>
      <c r="JD54" s="782"/>
      <c r="JE54" s="782"/>
      <c r="JF54" s="782"/>
      <c r="JG54" s="782"/>
      <c r="JH54" s="782"/>
      <c r="JI54" s="782"/>
      <c r="JJ54" s="782"/>
      <c r="JK54" s="782"/>
      <c r="JL54" s="782"/>
      <c r="JM54" s="782"/>
      <c r="JN54" s="782"/>
      <c r="JO54" s="782"/>
      <c r="JP54" s="782"/>
      <c r="JQ54" s="782"/>
      <c r="JR54" s="782"/>
      <c r="JS54" s="782"/>
      <c r="JT54" s="782"/>
      <c r="JU54" s="782"/>
      <c r="JV54" s="782"/>
      <c r="JW54" s="782"/>
      <c r="JX54" s="782"/>
      <c r="JY54" s="782"/>
      <c r="JZ54" s="782"/>
      <c r="KA54" s="782"/>
      <c r="KB54" s="782"/>
      <c r="KC54" s="782"/>
      <c r="KD54" s="782"/>
      <c r="KE54" s="782"/>
      <c r="KF54" s="782"/>
      <c r="KG54" s="782"/>
      <c r="KH54" s="782"/>
      <c r="KI54" s="782"/>
      <c r="KJ54" s="782"/>
      <c r="KK54" s="782"/>
      <c r="KL54" s="782"/>
      <c r="KM54" s="782"/>
      <c r="KN54" s="782"/>
      <c r="KO54" s="782"/>
      <c r="KP54" s="782"/>
      <c r="KQ54" s="782"/>
      <c r="KR54" s="782"/>
      <c r="KS54" s="782"/>
      <c r="KT54" s="782"/>
      <c r="KU54" s="782"/>
      <c r="KV54" s="782"/>
      <c r="KW54" s="782"/>
      <c r="KX54" s="782"/>
      <c r="KY54" s="782"/>
      <c r="KZ54" s="782"/>
      <c r="LA54" s="782"/>
      <c r="LB54" s="782"/>
      <c r="LC54" s="782"/>
      <c r="LD54" s="782"/>
      <c r="LE54" s="782"/>
      <c r="LF54" s="782"/>
      <c r="LG54" s="782"/>
      <c r="LH54" s="782"/>
      <c r="LI54" s="782"/>
      <c r="LJ54" s="782"/>
      <c r="LK54" s="782"/>
      <c r="LL54" s="782"/>
      <c r="LM54" s="782"/>
      <c r="LN54" s="782"/>
      <c r="LO54" s="782"/>
      <c r="LP54" s="782"/>
      <c r="LQ54" s="782"/>
      <c r="LR54" s="782"/>
      <c r="LS54" s="782"/>
      <c r="LT54" s="782"/>
      <c r="LU54" s="782"/>
      <c r="LV54" s="782"/>
      <c r="LW54" s="782"/>
      <c r="LX54" s="782"/>
      <c r="LY54" s="782"/>
      <c r="LZ54" s="782"/>
      <c r="MA54" s="782"/>
      <c r="MB54" s="782"/>
      <c r="MC54" s="782"/>
      <c r="MD54" s="782"/>
      <c r="ME54" s="782"/>
      <c r="MF54" s="782"/>
      <c r="MG54" s="782"/>
      <c r="MH54" s="782"/>
      <c r="MI54" s="782"/>
      <c r="MJ54" s="782"/>
      <c r="MK54" s="782"/>
      <c r="ML54" s="782"/>
      <c r="MM54" s="782"/>
      <c r="MN54" s="782"/>
      <c r="MO54" s="782"/>
      <c r="MP54" s="782"/>
      <c r="MQ54" s="782"/>
      <c r="MR54" s="782"/>
      <c r="MS54" s="782"/>
      <c r="MT54" s="782"/>
      <c r="MU54" s="782"/>
      <c r="MV54" s="782"/>
      <c r="MW54" s="782"/>
      <c r="MX54" s="782"/>
      <c r="MY54" s="782"/>
      <c r="MZ54" s="782"/>
      <c r="NA54" s="782"/>
      <c r="NB54" s="782"/>
      <c r="NC54" s="782"/>
      <c r="ND54" s="782"/>
      <c r="NE54" s="782"/>
      <c r="NF54" s="782"/>
      <c r="NG54" s="782"/>
      <c r="NH54" s="782"/>
      <c r="NI54" s="782"/>
      <c r="NJ54" s="782"/>
      <c r="NK54" s="782"/>
      <c r="NL54" s="782"/>
      <c r="NM54" s="782"/>
      <c r="NN54" s="782"/>
      <c r="NO54" s="782"/>
      <c r="NP54" s="782"/>
      <c r="NQ54" s="782"/>
      <c r="NR54" s="782"/>
      <c r="NS54" s="782"/>
      <c r="NT54" s="782"/>
      <c r="NU54" s="782"/>
      <c r="NV54" s="782"/>
      <c r="NW54" s="782"/>
      <c r="NX54" s="782"/>
      <c r="NY54" s="782"/>
      <c r="NZ54" s="782"/>
      <c r="OA54" s="782"/>
      <c r="OB54" s="782"/>
      <c r="OC54" s="782"/>
      <c r="OD54" s="782"/>
      <c r="OE54" s="782"/>
      <c r="OF54" s="782"/>
      <c r="OG54" s="782"/>
      <c r="OH54" s="782"/>
      <c r="OI54" s="782"/>
      <c r="OJ54" s="782"/>
      <c r="OK54" s="782"/>
      <c r="OL54" s="782"/>
      <c r="OM54" s="782"/>
      <c r="ON54" s="782"/>
      <c r="OO54" s="782"/>
      <c r="OP54" s="782"/>
      <c r="OQ54" s="782"/>
      <c r="OR54" s="782"/>
      <c r="OS54" s="782"/>
      <c r="OT54" s="782"/>
      <c r="OU54" s="782"/>
      <c r="OV54" s="782"/>
      <c r="OW54" s="782"/>
      <c r="OX54" s="782"/>
      <c r="OY54" s="782"/>
      <c r="OZ54" s="782"/>
      <c r="PA54" s="782"/>
      <c r="PB54" s="782"/>
      <c r="PC54" s="782"/>
      <c r="PD54" s="782"/>
      <c r="PE54" s="782"/>
      <c r="PF54" s="782"/>
      <c r="PG54" s="782"/>
      <c r="PH54" s="782"/>
      <c r="PI54" s="782"/>
      <c r="PJ54" s="782"/>
      <c r="PK54" s="782"/>
      <c r="PL54" s="782"/>
      <c r="PM54" s="782"/>
      <c r="PN54" s="782"/>
      <c r="PO54" s="782"/>
      <c r="PP54" s="782"/>
      <c r="PQ54" s="782"/>
      <c r="PR54" s="782"/>
      <c r="PS54" s="782"/>
      <c r="PT54" s="782"/>
      <c r="PU54" s="782"/>
      <c r="PV54" s="782"/>
      <c r="PW54" s="782"/>
      <c r="PX54" s="782"/>
      <c r="PY54" s="782"/>
      <c r="PZ54" s="782"/>
      <c r="QA54" s="782"/>
      <c r="QB54" s="782"/>
      <c r="QC54" s="782"/>
      <c r="QD54" s="782"/>
      <c r="QE54" s="782"/>
      <c r="QF54" s="782"/>
      <c r="QG54" s="782"/>
      <c r="QH54" s="782"/>
      <c r="QI54" s="782"/>
      <c r="QJ54" s="782"/>
      <c r="QK54" s="782"/>
      <c r="QL54" s="782"/>
      <c r="QM54" s="782"/>
      <c r="QN54" s="782"/>
      <c r="QO54" s="782"/>
      <c r="QP54" s="782"/>
      <c r="QQ54" s="782"/>
      <c r="QR54" s="782"/>
      <c r="QS54" s="782"/>
      <c r="QT54" s="782"/>
      <c r="QU54" s="782"/>
      <c r="QV54" s="782"/>
      <c r="QW54" s="782"/>
      <c r="QX54" s="782"/>
      <c r="QY54" s="782"/>
      <c r="QZ54" s="782"/>
      <c r="RA54" s="782"/>
      <c r="RB54" s="782"/>
      <c r="RC54" s="782"/>
      <c r="RD54" s="782"/>
      <c r="RE54" s="782"/>
      <c r="RF54" s="782"/>
      <c r="RG54" s="782"/>
      <c r="RH54" s="782"/>
      <c r="RI54" s="782"/>
      <c r="RJ54" s="782"/>
      <c r="RK54" s="782"/>
      <c r="RL54" s="782"/>
      <c r="RM54" s="782"/>
      <c r="RN54" s="782"/>
      <c r="RO54" s="782"/>
      <c r="RP54" s="782"/>
      <c r="RQ54" s="782"/>
      <c r="RR54" s="782"/>
      <c r="RS54" s="782"/>
      <c r="RT54" s="782"/>
      <c r="RU54" s="782"/>
      <c r="RV54" s="782"/>
      <c r="RW54" s="782"/>
      <c r="RX54" s="782"/>
    </row>
    <row r="55" spans="1:492" s="143" customFormat="1">
      <c r="A55" s="782"/>
      <c r="B55" s="782"/>
      <c r="C55" s="782"/>
      <c r="D55" s="782"/>
      <c r="E55" s="782"/>
      <c r="F55" s="782"/>
      <c r="G55" s="782"/>
      <c r="H55" s="782"/>
      <c r="I55" s="782"/>
      <c r="J55" s="782"/>
      <c r="K55" s="782"/>
      <c r="L55" s="782"/>
      <c r="M55" s="782"/>
      <c r="N55" s="782"/>
      <c r="O55" s="782"/>
      <c r="P55" s="782"/>
      <c r="Q55" s="782"/>
      <c r="R55" s="782"/>
      <c r="S55" s="782"/>
      <c r="T55" s="782"/>
      <c r="U55" s="782"/>
      <c r="V55" s="782"/>
      <c r="W55" s="782"/>
      <c r="X55" s="782"/>
      <c r="Y55" s="782"/>
      <c r="Z55" s="782"/>
      <c r="AA55" s="782"/>
      <c r="AB55" s="782"/>
      <c r="AC55" s="782"/>
      <c r="AD55" s="782"/>
      <c r="AE55" s="782"/>
      <c r="AF55" s="782"/>
      <c r="AG55" s="782"/>
      <c r="AH55" s="782"/>
      <c r="AI55" s="782"/>
      <c r="AJ55" s="782"/>
      <c r="AK55" s="782"/>
      <c r="AL55" s="782"/>
      <c r="AM55" s="785"/>
      <c r="AN55" s="785"/>
      <c r="AO55" s="785"/>
      <c r="AP55" s="785"/>
      <c r="AQ55" s="785"/>
      <c r="AR55" s="785"/>
      <c r="AS55" s="785"/>
      <c r="AT55" s="785"/>
      <c r="AU55" s="785"/>
      <c r="AV55" s="785"/>
      <c r="AW55" s="790"/>
      <c r="AX55" s="790"/>
      <c r="AY55" s="790"/>
      <c r="AZ55" s="790"/>
      <c r="BA55" s="785"/>
      <c r="BB55" s="785"/>
      <c r="BC55" s="785"/>
      <c r="BD55" s="785"/>
      <c r="BE55" s="785"/>
      <c r="BF55" s="785"/>
      <c r="BG55" s="785"/>
      <c r="BH55" s="785"/>
      <c r="BI55" s="785"/>
      <c r="BJ55" s="785"/>
      <c r="BK55" s="785"/>
      <c r="BL55" s="785"/>
      <c r="BM55" s="785"/>
      <c r="BN55" s="785"/>
      <c r="BO55" s="785"/>
      <c r="BP55" s="785"/>
      <c r="BQ55" s="785"/>
      <c r="BR55" s="785"/>
      <c r="BS55" s="785"/>
      <c r="BT55" s="785"/>
      <c r="BU55" s="785"/>
      <c r="BV55" s="785"/>
      <c r="BW55" s="785"/>
      <c r="BX55" s="785"/>
      <c r="BY55" s="785"/>
      <c r="BZ55" s="785"/>
      <c r="CA55" s="782"/>
      <c r="CB55" s="782"/>
      <c r="CC55" s="782"/>
      <c r="CD55" s="782"/>
      <c r="CE55" s="782"/>
      <c r="CF55" s="782"/>
      <c r="CG55" s="782"/>
      <c r="CH55" s="782"/>
      <c r="CI55" s="782"/>
      <c r="CJ55" s="782"/>
      <c r="CK55" s="782"/>
      <c r="CL55" s="782"/>
      <c r="CM55" s="782"/>
      <c r="CN55" s="782"/>
      <c r="CO55" s="782"/>
      <c r="CP55" s="782"/>
      <c r="CQ55" s="782"/>
      <c r="CR55" s="782"/>
      <c r="CS55" s="782"/>
      <c r="CT55" s="782"/>
      <c r="CU55" s="782"/>
      <c r="CV55" s="782"/>
      <c r="CW55" s="782"/>
      <c r="CX55" s="782"/>
      <c r="CY55" s="782"/>
      <c r="CZ55" s="782"/>
      <c r="DA55" s="782"/>
      <c r="DB55" s="782"/>
      <c r="DC55" s="782"/>
      <c r="DD55" s="782"/>
      <c r="DE55" s="782"/>
      <c r="DF55" s="782"/>
      <c r="DG55" s="782"/>
      <c r="DH55" s="782"/>
      <c r="DI55" s="782"/>
      <c r="DJ55" s="782"/>
      <c r="DK55" s="782"/>
      <c r="DL55" s="782"/>
      <c r="DM55" s="782"/>
      <c r="DN55" s="782"/>
      <c r="DO55" s="782"/>
      <c r="DP55" s="782"/>
      <c r="DQ55" s="782"/>
      <c r="DR55" s="782"/>
      <c r="DS55" s="782"/>
      <c r="DT55" s="782"/>
      <c r="DU55" s="782"/>
      <c r="DV55" s="782"/>
      <c r="DW55" s="782"/>
      <c r="DX55" s="782"/>
      <c r="DY55" s="782"/>
      <c r="DZ55" s="782"/>
      <c r="EA55" s="782"/>
      <c r="EB55" s="782"/>
      <c r="EC55" s="782"/>
      <c r="ED55" s="782"/>
      <c r="EE55" s="782"/>
      <c r="EF55" s="782"/>
      <c r="EG55" s="782"/>
      <c r="EH55" s="782"/>
      <c r="EI55" s="782"/>
      <c r="EJ55" s="782"/>
      <c r="EK55" s="782"/>
      <c r="EL55" s="782"/>
      <c r="EM55" s="782"/>
      <c r="EN55" s="782"/>
      <c r="EO55" s="782"/>
      <c r="EP55" s="782"/>
      <c r="EQ55" s="782"/>
      <c r="ER55" s="782"/>
      <c r="ES55" s="782"/>
      <c r="ET55" s="782"/>
      <c r="EU55" s="782"/>
      <c r="EV55" s="782"/>
      <c r="EW55" s="782"/>
      <c r="EX55" s="782"/>
      <c r="EY55" s="782"/>
      <c r="EZ55" s="782"/>
      <c r="FA55" s="782"/>
      <c r="FB55" s="782"/>
      <c r="FC55" s="782"/>
      <c r="FD55" s="782"/>
      <c r="FE55" s="782"/>
      <c r="FF55" s="782"/>
      <c r="FG55" s="782"/>
      <c r="FH55" s="782"/>
      <c r="FI55" s="782"/>
      <c r="FJ55" s="782"/>
      <c r="FK55" s="782"/>
      <c r="FL55" s="782"/>
      <c r="FM55" s="782"/>
      <c r="FN55" s="782"/>
      <c r="FO55" s="782"/>
      <c r="FP55" s="782"/>
      <c r="FQ55" s="782"/>
      <c r="FR55" s="782"/>
      <c r="FS55" s="782"/>
      <c r="FT55" s="782"/>
      <c r="FU55" s="782"/>
      <c r="FV55" s="782"/>
      <c r="FW55" s="782"/>
      <c r="FX55" s="782"/>
      <c r="FY55" s="782"/>
      <c r="FZ55" s="782"/>
      <c r="GA55" s="782"/>
      <c r="GB55" s="782"/>
      <c r="GC55" s="782"/>
      <c r="GD55" s="782"/>
      <c r="GE55" s="782"/>
      <c r="GF55" s="782"/>
      <c r="GG55" s="782"/>
      <c r="GH55" s="782"/>
      <c r="GI55" s="782"/>
      <c r="GJ55" s="782"/>
      <c r="GK55" s="782"/>
      <c r="GL55" s="782"/>
      <c r="GM55" s="782"/>
      <c r="GN55" s="782"/>
      <c r="GO55" s="782"/>
      <c r="GP55" s="782"/>
      <c r="GQ55" s="782"/>
      <c r="GR55" s="782"/>
      <c r="GS55" s="782"/>
      <c r="GT55" s="782"/>
      <c r="GU55" s="782"/>
      <c r="GV55" s="782"/>
      <c r="GW55" s="782"/>
      <c r="GX55" s="782"/>
      <c r="GY55" s="782"/>
      <c r="GZ55" s="782"/>
      <c r="HA55" s="782"/>
      <c r="HB55" s="782"/>
      <c r="HC55" s="782"/>
      <c r="HD55" s="782"/>
      <c r="HE55" s="782"/>
      <c r="HF55" s="782"/>
      <c r="HG55" s="782"/>
      <c r="HH55" s="782"/>
      <c r="HI55" s="782"/>
      <c r="HJ55" s="782"/>
      <c r="HK55" s="782"/>
      <c r="HL55" s="782"/>
      <c r="HM55" s="782"/>
      <c r="HN55" s="782"/>
      <c r="HO55" s="782"/>
      <c r="HP55" s="782"/>
      <c r="HQ55" s="782"/>
      <c r="HR55" s="782"/>
      <c r="HS55" s="782"/>
      <c r="HT55" s="782"/>
      <c r="HU55" s="782"/>
      <c r="HV55" s="782"/>
      <c r="HW55" s="782"/>
      <c r="HX55" s="782"/>
      <c r="HY55" s="782"/>
      <c r="HZ55" s="782"/>
      <c r="IA55" s="782"/>
      <c r="IB55" s="782"/>
      <c r="IC55" s="782"/>
      <c r="ID55" s="782"/>
      <c r="IE55" s="782"/>
      <c r="IF55" s="782"/>
      <c r="IG55" s="782"/>
      <c r="IH55" s="782"/>
      <c r="II55" s="782"/>
      <c r="IJ55" s="782"/>
      <c r="IK55" s="782"/>
      <c r="IL55" s="782"/>
      <c r="IM55" s="782"/>
      <c r="IN55" s="782"/>
      <c r="IO55" s="782"/>
      <c r="IP55" s="782"/>
      <c r="IQ55" s="782"/>
      <c r="IR55" s="782"/>
      <c r="IS55" s="782"/>
      <c r="IT55" s="782"/>
      <c r="IU55" s="782"/>
      <c r="IV55" s="782"/>
      <c r="IW55" s="782"/>
      <c r="IX55" s="782"/>
      <c r="IY55" s="782"/>
      <c r="IZ55" s="782"/>
      <c r="JA55" s="782"/>
      <c r="JB55" s="782"/>
      <c r="JC55" s="782"/>
      <c r="JD55" s="782"/>
      <c r="JE55" s="782"/>
      <c r="JF55" s="782"/>
      <c r="JG55" s="782"/>
      <c r="JH55" s="782"/>
      <c r="JI55" s="782"/>
      <c r="JJ55" s="782"/>
      <c r="JK55" s="782"/>
      <c r="JL55" s="782"/>
      <c r="JM55" s="782"/>
      <c r="JN55" s="782"/>
      <c r="JO55" s="782"/>
      <c r="JP55" s="782"/>
      <c r="JQ55" s="782"/>
      <c r="JR55" s="782"/>
      <c r="JS55" s="782"/>
      <c r="JT55" s="782"/>
      <c r="JU55" s="782"/>
      <c r="JV55" s="782"/>
      <c r="JW55" s="782"/>
      <c r="JX55" s="782"/>
      <c r="JY55" s="782"/>
      <c r="JZ55" s="782"/>
      <c r="KA55" s="782"/>
      <c r="KB55" s="782"/>
      <c r="KC55" s="782"/>
      <c r="KD55" s="782"/>
      <c r="KE55" s="782"/>
      <c r="KF55" s="782"/>
      <c r="KG55" s="782"/>
      <c r="KH55" s="782"/>
      <c r="KI55" s="782"/>
      <c r="KJ55" s="782"/>
      <c r="KK55" s="782"/>
      <c r="KL55" s="782"/>
      <c r="KM55" s="782"/>
      <c r="KN55" s="782"/>
      <c r="KO55" s="782"/>
      <c r="KP55" s="782"/>
      <c r="KQ55" s="782"/>
      <c r="KR55" s="782"/>
      <c r="KS55" s="782"/>
      <c r="KT55" s="782"/>
      <c r="KU55" s="782"/>
      <c r="KV55" s="782"/>
      <c r="KW55" s="782"/>
      <c r="KX55" s="782"/>
      <c r="KY55" s="782"/>
      <c r="KZ55" s="782"/>
      <c r="LA55" s="782"/>
      <c r="LB55" s="782"/>
      <c r="LC55" s="782"/>
      <c r="LD55" s="782"/>
      <c r="LE55" s="782"/>
      <c r="LF55" s="782"/>
      <c r="LG55" s="782"/>
      <c r="LH55" s="782"/>
      <c r="LI55" s="782"/>
      <c r="LJ55" s="782"/>
      <c r="LK55" s="782"/>
      <c r="LL55" s="782"/>
      <c r="LM55" s="782"/>
      <c r="LN55" s="782"/>
      <c r="LO55" s="782"/>
      <c r="LP55" s="782"/>
      <c r="LQ55" s="782"/>
      <c r="LR55" s="782"/>
      <c r="LS55" s="782"/>
      <c r="LT55" s="782"/>
      <c r="LU55" s="782"/>
      <c r="LV55" s="782"/>
      <c r="LW55" s="782"/>
      <c r="LX55" s="782"/>
      <c r="LY55" s="782"/>
      <c r="LZ55" s="782"/>
      <c r="MA55" s="782"/>
      <c r="MB55" s="782"/>
      <c r="MC55" s="782"/>
      <c r="MD55" s="782"/>
      <c r="ME55" s="782"/>
      <c r="MF55" s="782"/>
      <c r="MG55" s="782"/>
      <c r="MH55" s="782"/>
      <c r="MI55" s="782"/>
      <c r="MJ55" s="782"/>
      <c r="MK55" s="782"/>
      <c r="ML55" s="782"/>
      <c r="MM55" s="782"/>
      <c r="MN55" s="782"/>
      <c r="MO55" s="782"/>
      <c r="MP55" s="782"/>
      <c r="MQ55" s="782"/>
      <c r="MR55" s="782"/>
      <c r="MS55" s="782"/>
      <c r="MT55" s="782"/>
      <c r="MU55" s="782"/>
      <c r="MV55" s="782"/>
      <c r="MW55" s="782"/>
      <c r="MX55" s="782"/>
      <c r="MY55" s="782"/>
      <c r="MZ55" s="782"/>
      <c r="NA55" s="782"/>
      <c r="NB55" s="782"/>
      <c r="NC55" s="782"/>
      <c r="ND55" s="782"/>
      <c r="NE55" s="782"/>
      <c r="NF55" s="782"/>
      <c r="NG55" s="782"/>
      <c r="NH55" s="782"/>
      <c r="NI55" s="782"/>
      <c r="NJ55" s="782"/>
      <c r="NK55" s="782"/>
      <c r="NL55" s="782"/>
      <c r="NM55" s="782"/>
      <c r="NN55" s="782"/>
      <c r="NO55" s="782"/>
      <c r="NP55" s="782"/>
      <c r="NQ55" s="782"/>
      <c r="NR55" s="782"/>
      <c r="NS55" s="782"/>
      <c r="NT55" s="782"/>
      <c r="NU55" s="782"/>
      <c r="NV55" s="782"/>
      <c r="NW55" s="782"/>
      <c r="NX55" s="782"/>
      <c r="NY55" s="782"/>
      <c r="NZ55" s="782"/>
      <c r="OA55" s="782"/>
      <c r="OB55" s="782"/>
      <c r="OC55" s="782"/>
      <c r="OD55" s="782"/>
      <c r="OE55" s="782"/>
      <c r="OF55" s="782"/>
      <c r="OG55" s="782"/>
      <c r="OH55" s="782"/>
      <c r="OI55" s="782"/>
      <c r="OJ55" s="782"/>
      <c r="OK55" s="782"/>
      <c r="OL55" s="782"/>
      <c r="OM55" s="782"/>
      <c r="ON55" s="782"/>
      <c r="OO55" s="782"/>
      <c r="OP55" s="782"/>
      <c r="OQ55" s="782"/>
      <c r="OR55" s="782"/>
      <c r="OS55" s="782"/>
      <c r="OT55" s="782"/>
      <c r="OU55" s="782"/>
      <c r="OV55" s="782"/>
      <c r="OW55" s="782"/>
      <c r="OX55" s="782"/>
      <c r="OY55" s="782"/>
      <c r="OZ55" s="782"/>
      <c r="PA55" s="782"/>
      <c r="PB55" s="782"/>
      <c r="PC55" s="782"/>
      <c r="PD55" s="782"/>
      <c r="PE55" s="782"/>
      <c r="PF55" s="782"/>
      <c r="PG55" s="782"/>
      <c r="PH55" s="782"/>
      <c r="PI55" s="782"/>
      <c r="PJ55" s="782"/>
      <c r="PK55" s="782"/>
      <c r="PL55" s="782"/>
      <c r="PM55" s="782"/>
      <c r="PN55" s="782"/>
      <c r="PO55" s="782"/>
      <c r="PP55" s="782"/>
      <c r="PQ55" s="782"/>
      <c r="PR55" s="782"/>
      <c r="PS55" s="782"/>
      <c r="PT55" s="782"/>
      <c r="PU55" s="782"/>
      <c r="PV55" s="782"/>
      <c r="PW55" s="782"/>
      <c r="PX55" s="782"/>
      <c r="PY55" s="782"/>
      <c r="PZ55" s="782"/>
      <c r="QA55" s="782"/>
      <c r="QB55" s="782"/>
      <c r="QC55" s="782"/>
      <c r="QD55" s="782"/>
      <c r="QE55" s="782"/>
      <c r="QF55" s="782"/>
      <c r="QG55" s="782"/>
      <c r="QH55" s="782"/>
      <c r="QI55" s="782"/>
      <c r="QJ55" s="782"/>
      <c r="QK55" s="782"/>
      <c r="QL55" s="782"/>
      <c r="QM55" s="782"/>
      <c r="QN55" s="782"/>
      <c r="QO55" s="782"/>
      <c r="QP55" s="782"/>
      <c r="QQ55" s="782"/>
      <c r="QR55" s="782"/>
      <c r="QS55" s="782"/>
      <c r="QT55" s="782"/>
      <c r="QU55" s="782"/>
      <c r="QV55" s="782"/>
      <c r="QW55" s="782"/>
      <c r="QX55" s="782"/>
      <c r="QY55" s="782"/>
      <c r="QZ55" s="782"/>
      <c r="RA55" s="782"/>
      <c r="RB55" s="782"/>
      <c r="RC55" s="782"/>
      <c r="RD55" s="782"/>
      <c r="RE55" s="782"/>
      <c r="RF55" s="782"/>
      <c r="RG55" s="782"/>
      <c r="RH55" s="782"/>
      <c r="RI55" s="782"/>
      <c r="RJ55" s="782"/>
      <c r="RK55" s="782"/>
      <c r="RL55" s="782"/>
      <c r="RM55" s="782"/>
      <c r="RN55" s="782"/>
      <c r="RO55" s="782"/>
      <c r="RP55" s="782"/>
      <c r="RQ55" s="782"/>
      <c r="RR55" s="782"/>
      <c r="RS55" s="782"/>
      <c r="RT55" s="782"/>
      <c r="RU55" s="782"/>
      <c r="RV55" s="782"/>
      <c r="RW55" s="782"/>
      <c r="RX55" s="782"/>
    </row>
    <row r="56" spans="1:492" s="143" customFormat="1">
      <c r="A56" s="782"/>
      <c r="B56" s="782"/>
      <c r="C56" s="782"/>
      <c r="D56" s="782"/>
      <c r="E56" s="782"/>
      <c r="F56" s="782"/>
      <c r="G56" s="782"/>
      <c r="H56" s="782"/>
      <c r="I56" s="782"/>
      <c r="J56" s="782"/>
      <c r="K56" s="782"/>
      <c r="L56" s="782"/>
      <c r="M56" s="782"/>
      <c r="N56" s="782"/>
      <c r="O56" s="782"/>
      <c r="P56" s="782"/>
      <c r="Q56" s="782"/>
      <c r="R56" s="782"/>
      <c r="S56" s="782"/>
      <c r="T56" s="782"/>
      <c r="U56" s="782"/>
      <c r="V56" s="782"/>
      <c r="W56" s="782"/>
      <c r="X56" s="782"/>
      <c r="Y56" s="782"/>
      <c r="Z56" s="782"/>
      <c r="AA56" s="782"/>
      <c r="AB56" s="782"/>
      <c r="AC56" s="782"/>
      <c r="AD56" s="782"/>
      <c r="AE56" s="782"/>
      <c r="AF56" s="782"/>
      <c r="AG56" s="782"/>
      <c r="AH56" s="782"/>
      <c r="AI56" s="782"/>
      <c r="AJ56" s="782"/>
      <c r="AK56" s="782"/>
      <c r="AL56" s="782"/>
      <c r="AM56" s="785"/>
      <c r="AN56" s="785"/>
      <c r="AO56" s="785"/>
      <c r="AP56" s="785"/>
      <c r="AQ56" s="785"/>
      <c r="AR56" s="785"/>
      <c r="AS56" s="785"/>
      <c r="AT56" s="785"/>
      <c r="AU56" s="785"/>
      <c r="AV56" s="785"/>
      <c r="AW56" s="790"/>
      <c r="AX56" s="790"/>
      <c r="AY56" s="790"/>
      <c r="AZ56" s="790"/>
      <c r="BA56" s="785"/>
      <c r="BB56" s="785"/>
      <c r="BC56" s="785"/>
      <c r="BD56" s="785"/>
      <c r="BE56" s="785"/>
      <c r="BF56" s="785"/>
      <c r="BG56" s="785"/>
      <c r="BH56" s="785"/>
      <c r="BI56" s="785"/>
      <c r="BJ56" s="785"/>
      <c r="BK56" s="785"/>
      <c r="BL56" s="785"/>
      <c r="BM56" s="785"/>
      <c r="BN56" s="785"/>
      <c r="BO56" s="785"/>
      <c r="BP56" s="785"/>
      <c r="BQ56" s="785"/>
      <c r="BR56" s="785"/>
      <c r="BS56" s="785"/>
      <c r="BT56" s="785"/>
      <c r="BU56" s="785"/>
      <c r="BV56" s="785"/>
      <c r="BW56" s="785"/>
      <c r="BX56" s="785"/>
      <c r="BY56" s="785"/>
      <c r="BZ56" s="785"/>
      <c r="CA56" s="782"/>
      <c r="CB56" s="782"/>
      <c r="CC56" s="782"/>
      <c r="CD56" s="782"/>
      <c r="CE56" s="782"/>
      <c r="CF56" s="782"/>
      <c r="CG56" s="782"/>
      <c r="CH56" s="782"/>
      <c r="CI56" s="782"/>
      <c r="CJ56" s="782"/>
      <c r="CK56" s="782"/>
      <c r="CL56" s="782"/>
      <c r="CM56" s="782"/>
      <c r="CN56" s="782"/>
      <c r="CO56" s="782"/>
      <c r="CP56" s="782"/>
      <c r="CQ56" s="782"/>
      <c r="CR56" s="782"/>
      <c r="CS56" s="782"/>
      <c r="CT56" s="782"/>
      <c r="CU56" s="782"/>
      <c r="CV56" s="782"/>
      <c r="CW56" s="782"/>
      <c r="CX56" s="782"/>
      <c r="CY56" s="782"/>
      <c r="CZ56" s="782"/>
      <c r="DA56" s="782"/>
      <c r="DB56" s="782"/>
      <c r="DC56" s="782"/>
      <c r="DD56" s="782"/>
      <c r="DE56" s="782"/>
      <c r="DF56" s="782"/>
      <c r="DG56" s="782"/>
      <c r="DH56" s="782"/>
      <c r="DI56" s="782"/>
      <c r="DJ56" s="782"/>
      <c r="DK56" s="782"/>
      <c r="DL56" s="782"/>
      <c r="DM56" s="782"/>
      <c r="DN56" s="782"/>
      <c r="DO56" s="782"/>
      <c r="DP56" s="782"/>
      <c r="DQ56" s="782"/>
      <c r="DR56" s="782"/>
      <c r="DS56" s="782"/>
      <c r="DT56" s="782"/>
      <c r="DU56" s="782"/>
      <c r="DV56" s="782"/>
      <c r="DW56" s="782"/>
      <c r="DX56" s="782"/>
      <c r="DY56" s="782"/>
      <c r="DZ56" s="782"/>
      <c r="EA56" s="782"/>
      <c r="EB56" s="782"/>
      <c r="EC56" s="782"/>
      <c r="ED56" s="782"/>
      <c r="EE56" s="782"/>
      <c r="EF56" s="782"/>
      <c r="EG56" s="782"/>
      <c r="EH56" s="782"/>
      <c r="EI56" s="782"/>
      <c r="EJ56" s="782"/>
      <c r="EK56" s="782"/>
      <c r="EL56" s="782"/>
      <c r="EM56" s="782"/>
      <c r="EN56" s="782"/>
      <c r="EO56" s="782"/>
      <c r="EP56" s="782"/>
      <c r="EQ56" s="782"/>
      <c r="ER56" s="782"/>
      <c r="ES56" s="782"/>
      <c r="ET56" s="782"/>
      <c r="EU56" s="782"/>
      <c r="EV56" s="782"/>
      <c r="EW56" s="782"/>
      <c r="EX56" s="782"/>
      <c r="EY56" s="782"/>
      <c r="EZ56" s="782"/>
      <c r="FA56" s="782"/>
      <c r="FB56" s="782"/>
      <c r="FC56" s="782"/>
      <c r="FD56" s="782"/>
      <c r="FE56" s="782"/>
      <c r="FF56" s="782"/>
      <c r="FG56" s="782"/>
      <c r="FH56" s="782"/>
      <c r="FI56" s="782"/>
      <c r="FJ56" s="782"/>
      <c r="FK56" s="782"/>
      <c r="FL56" s="782"/>
      <c r="FM56" s="782"/>
      <c r="FN56" s="782"/>
      <c r="FO56" s="782"/>
      <c r="FP56" s="782"/>
      <c r="FQ56" s="782"/>
      <c r="FR56" s="782"/>
      <c r="FS56" s="782"/>
      <c r="FT56" s="782"/>
      <c r="FU56" s="782"/>
      <c r="FV56" s="782"/>
      <c r="FW56" s="782"/>
      <c r="FX56" s="782"/>
      <c r="FY56" s="782"/>
      <c r="FZ56" s="782"/>
      <c r="GA56" s="782"/>
      <c r="GB56" s="782"/>
      <c r="GC56" s="782"/>
      <c r="GD56" s="782"/>
      <c r="GE56" s="782"/>
      <c r="GF56" s="782"/>
      <c r="GG56" s="782"/>
      <c r="GH56" s="782"/>
      <c r="GI56" s="782"/>
      <c r="GJ56" s="782"/>
      <c r="GK56" s="782"/>
      <c r="GL56" s="782"/>
      <c r="GM56" s="782"/>
      <c r="GN56" s="782"/>
      <c r="GO56" s="782"/>
      <c r="GP56" s="782"/>
      <c r="GQ56" s="782"/>
      <c r="GR56" s="782"/>
      <c r="GS56" s="782"/>
      <c r="GT56" s="782"/>
      <c r="GU56" s="782"/>
      <c r="GV56" s="782"/>
      <c r="GW56" s="782"/>
      <c r="GX56" s="782"/>
      <c r="GY56" s="782"/>
      <c r="GZ56" s="782"/>
      <c r="HA56" s="782"/>
      <c r="HB56" s="782"/>
      <c r="HC56" s="782"/>
      <c r="HD56" s="782"/>
      <c r="HE56" s="782"/>
      <c r="HF56" s="782"/>
      <c r="HG56" s="782"/>
      <c r="HH56" s="782"/>
      <c r="HI56" s="782"/>
      <c r="HJ56" s="782"/>
      <c r="HK56" s="782"/>
      <c r="HL56" s="782"/>
      <c r="HM56" s="782"/>
      <c r="HN56" s="782"/>
      <c r="HO56" s="782"/>
      <c r="HP56" s="782"/>
      <c r="HQ56" s="782"/>
      <c r="HR56" s="782"/>
      <c r="HS56" s="782"/>
      <c r="HT56" s="782"/>
      <c r="HU56" s="782"/>
      <c r="HV56" s="782"/>
      <c r="HW56" s="782"/>
      <c r="HX56" s="782"/>
      <c r="HY56" s="782"/>
      <c r="HZ56" s="782"/>
      <c r="IA56" s="782"/>
      <c r="IB56" s="782"/>
      <c r="IC56" s="782"/>
      <c r="ID56" s="782"/>
      <c r="IE56" s="782"/>
      <c r="IF56" s="782"/>
      <c r="IG56" s="782"/>
      <c r="IH56" s="782"/>
      <c r="II56" s="782"/>
      <c r="IJ56" s="782"/>
      <c r="IK56" s="782"/>
      <c r="IL56" s="782"/>
      <c r="IM56" s="782"/>
      <c r="IN56" s="782"/>
      <c r="IO56" s="782"/>
      <c r="IP56" s="782"/>
      <c r="IQ56" s="782"/>
      <c r="IR56" s="782"/>
      <c r="IS56" s="782"/>
      <c r="IT56" s="782"/>
      <c r="IU56" s="782"/>
      <c r="IV56" s="782"/>
      <c r="IW56" s="782"/>
      <c r="IX56" s="782"/>
      <c r="IY56" s="782"/>
      <c r="IZ56" s="782"/>
      <c r="JA56" s="782"/>
      <c r="JB56" s="782"/>
      <c r="JC56" s="782"/>
      <c r="JD56" s="782"/>
      <c r="JE56" s="782"/>
      <c r="JF56" s="782"/>
      <c r="JG56" s="782"/>
      <c r="JH56" s="782"/>
      <c r="JI56" s="782"/>
      <c r="JJ56" s="782"/>
      <c r="JK56" s="782"/>
      <c r="JL56" s="782"/>
      <c r="JM56" s="782"/>
      <c r="JN56" s="782"/>
      <c r="JO56" s="782"/>
      <c r="JP56" s="782"/>
      <c r="JQ56" s="782"/>
      <c r="JR56" s="782"/>
      <c r="JS56" s="782"/>
      <c r="JT56" s="782"/>
      <c r="JU56" s="782"/>
      <c r="JV56" s="782"/>
      <c r="JW56" s="782"/>
      <c r="JX56" s="782"/>
      <c r="JY56" s="782"/>
      <c r="JZ56" s="782"/>
      <c r="KA56" s="782"/>
      <c r="KB56" s="782"/>
      <c r="KC56" s="782"/>
      <c r="KD56" s="782"/>
      <c r="KE56" s="782"/>
      <c r="KF56" s="782"/>
      <c r="KG56" s="782"/>
      <c r="KH56" s="782"/>
      <c r="KI56" s="782"/>
      <c r="KJ56" s="782"/>
      <c r="KK56" s="782"/>
      <c r="KL56" s="782"/>
      <c r="KM56" s="782"/>
      <c r="KN56" s="782"/>
      <c r="KO56" s="782"/>
      <c r="KP56" s="782"/>
      <c r="KQ56" s="782"/>
      <c r="KR56" s="782"/>
      <c r="KS56" s="782"/>
      <c r="KT56" s="782"/>
      <c r="KU56" s="782"/>
      <c r="KV56" s="782"/>
      <c r="KW56" s="782"/>
      <c r="KX56" s="782"/>
      <c r="KY56" s="782"/>
      <c r="KZ56" s="782"/>
      <c r="LA56" s="782"/>
      <c r="LB56" s="782"/>
      <c r="LC56" s="782"/>
      <c r="LD56" s="782"/>
      <c r="LE56" s="782"/>
      <c r="LF56" s="782"/>
      <c r="LG56" s="782"/>
      <c r="LH56" s="782"/>
      <c r="LI56" s="782"/>
      <c r="LJ56" s="782"/>
      <c r="LK56" s="782"/>
      <c r="LL56" s="782"/>
      <c r="LM56" s="782"/>
      <c r="LN56" s="782"/>
      <c r="LO56" s="782"/>
      <c r="LP56" s="782"/>
      <c r="LQ56" s="782"/>
      <c r="LR56" s="782"/>
      <c r="LS56" s="782"/>
      <c r="LT56" s="782"/>
      <c r="LU56" s="782"/>
      <c r="LV56" s="782"/>
      <c r="LW56" s="782"/>
      <c r="LX56" s="782"/>
      <c r="LY56" s="782"/>
      <c r="LZ56" s="782"/>
      <c r="MA56" s="782"/>
      <c r="MB56" s="782"/>
      <c r="MC56" s="782"/>
      <c r="MD56" s="782"/>
      <c r="ME56" s="782"/>
      <c r="MF56" s="782"/>
      <c r="MG56" s="782"/>
      <c r="MH56" s="782"/>
      <c r="MI56" s="782"/>
      <c r="MJ56" s="782"/>
      <c r="MK56" s="782"/>
      <c r="ML56" s="782"/>
      <c r="MM56" s="782"/>
      <c r="MN56" s="782"/>
      <c r="MO56" s="782"/>
      <c r="MP56" s="782"/>
      <c r="MQ56" s="782"/>
      <c r="MR56" s="782"/>
      <c r="MS56" s="782"/>
      <c r="MT56" s="782"/>
      <c r="MU56" s="782"/>
      <c r="MV56" s="782"/>
      <c r="MW56" s="782"/>
      <c r="MX56" s="782"/>
      <c r="MY56" s="782"/>
      <c r="MZ56" s="782"/>
      <c r="NA56" s="782"/>
      <c r="NB56" s="782"/>
      <c r="NC56" s="782"/>
      <c r="ND56" s="782"/>
      <c r="NE56" s="782"/>
      <c r="NF56" s="782"/>
      <c r="NG56" s="782"/>
      <c r="NH56" s="782"/>
      <c r="NI56" s="782"/>
      <c r="NJ56" s="782"/>
      <c r="NK56" s="782"/>
      <c r="NL56" s="782"/>
      <c r="NM56" s="782"/>
      <c r="NN56" s="782"/>
      <c r="NO56" s="782"/>
      <c r="NP56" s="782"/>
      <c r="NQ56" s="782"/>
      <c r="NR56" s="782"/>
      <c r="NS56" s="782"/>
      <c r="NT56" s="782"/>
      <c r="NU56" s="782"/>
      <c r="NV56" s="782"/>
      <c r="NW56" s="782"/>
      <c r="NX56" s="782"/>
      <c r="NY56" s="782"/>
      <c r="NZ56" s="782"/>
      <c r="OA56" s="782"/>
      <c r="OB56" s="782"/>
      <c r="OC56" s="782"/>
      <c r="OD56" s="782"/>
      <c r="OE56" s="782"/>
      <c r="OF56" s="782"/>
      <c r="OG56" s="782"/>
      <c r="OH56" s="782"/>
      <c r="OI56" s="782"/>
      <c r="OJ56" s="782"/>
      <c r="OK56" s="782"/>
      <c r="OL56" s="782"/>
      <c r="OM56" s="782"/>
      <c r="ON56" s="782"/>
      <c r="OO56" s="782"/>
      <c r="OP56" s="782"/>
      <c r="OQ56" s="782"/>
      <c r="OR56" s="782"/>
      <c r="OS56" s="782"/>
      <c r="OT56" s="782"/>
      <c r="OU56" s="782"/>
      <c r="OV56" s="782"/>
      <c r="OW56" s="782"/>
      <c r="OX56" s="782"/>
      <c r="OY56" s="782"/>
      <c r="OZ56" s="782"/>
      <c r="PA56" s="782"/>
      <c r="PB56" s="782"/>
      <c r="PC56" s="782"/>
      <c r="PD56" s="782"/>
      <c r="PE56" s="782"/>
      <c r="PF56" s="782"/>
      <c r="PG56" s="782"/>
      <c r="PH56" s="782"/>
      <c r="PI56" s="782"/>
      <c r="PJ56" s="782"/>
      <c r="PK56" s="782"/>
      <c r="PL56" s="782"/>
      <c r="PM56" s="782"/>
      <c r="PN56" s="782"/>
      <c r="PO56" s="782"/>
      <c r="PP56" s="782"/>
      <c r="PQ56" s="782"/>
      <c r="PR56" s="782"/>
      <c r="PS56" s="782"/>
      <c r="PT56" s="782"/>
      <c r="PU56" s="782"/>
      <c r="PV56" s="782"/>
      <c r="PW56" s="782"/>
      <c r="PX56" s="782"/>
      <c r="PY56" s="782"/>
      <c r="PZ56" s="782"/>
      <c r="QA56" s="782"/>
      <c r="QB56" s="782"/>
      <c r="QC56" s="782"/>
      <c r="QD56" s="782"/>
      <c r="QE56" s="782"/>
      <c r="QF56" s="782"/>
      <c r="QG56" s="782"/>
      <c r="QH56" s="782"/>
      <c r="QI56" s="782"/>
      <c r="QJ56" s="782"/>
      <c r="QK56" s="782"/>
      <c r="QL56" s="782"/>
      <c r="QM56" s="782"/>
      <c r="QN56" s="782"/>
      <c r="QO56" s="782"/>
      <c r="QP56" s="782"/>
      <c r="QQ56" s="782"/>
      <c r="QR56" s="782"/>
      <c r="QS56" s="782"/>
      <c r="QT56" s="782"/>
      <c r="QU56" s="782"/>
      <c r="QV56" s="782"/>
      <c r="QW56" s="782"/>
      <c r="QX56" s="782"/>
      <c r="QY56" s="782"/>
      <c r="QZ56" s="782"/>
      <c r="RA56" s="782"/>
      <c r="RB56" s="782"/>
      <c r="RC56" s="782"/>
      <c r="RD56" s="782"/>
      <c r="RE56" s="782"/>
      <c r="RF56" s="782"/>
      <c r="RG56" s="782"/>
      <c r="RH56" s="782"/>
      <c r="RI56" s="782"/>
      <c r="RJ56" s="782"/>
      <c r="RK56" s="782"/>
      <c r="RL56" s="782"/>
      <c r="RM56" s="782"/>
      <c r="RN56" s="782"/>
      <c r="RO56" s="782"/>
      <c r="RP56" s="782"/>
      <c r="RQ56" s="782"/>
      <c r="RR56" s="782"/>
      <c r="RS56" s="782"/>
      <c r="RT56" s="782"/>
      <c r="RU56" s="782"/>
      <c r="RV56" s="782"/>
      <c r="RW56" s="782"/>
      <c r="RX56" s="782"/>
    </row>
    <row r="57" spans="1:492" s="143" customFormat="1">
      <c r="A57" s="782"/>
      <c r="B57" s="782"/>
      <c r="C57" s="782"/>
      <c r="D57" s="782"/>
      <c r="E57" s="782"/>
      <c r="F57" s="782"/>
      <c r="G57" s="782"/>
      <c r="H57" s="782"/>
      <c r="I57" s="782"/>
      <c r="J57" s="782"/>
      <c r="K57" s="782"/>
      <c r="L57" s="782"/>
      <c r="M57" s="782"/>
      <c r="N57" s="782"/>
      <c r="O57" s="782"/>
      <c r="P57" s="782"/>
      <c r="Q57" s="782"/>
      <c r="R57" s="782"/>
      <c r="S57" s="782"/>
      <c r="T57" s="782"/>
      <c r="U57" s="782"/>
      <c r="V57" s="782"/>
      <c r="W57" s="782"/>
      <c r="X57" s="782"/>
      <c r="Y57" s="782"/>
      <c r="Z57" s="782"/>
      <c r="AA57" s="782"/>
      <c r="AB57" s="782"/>
      <c r="AC57" s="782"/>
      <c r="AD57" s="782"/>
      <c r="AE57" s="782"/>
      <c r="AF57" s="782"/>
      <c r="AG57" s="782"/>
      <c r="AH57" s="782"/>
      <c r="AI57" s="782"/>
      <c r="AJ57" s="782"/>
      <c r="AK57" s="782"/>
      <c r="AL57" s="782"/>
      <c r="AM57" s="785"/>
      <c r="AN57" s="785"/>
      <c r="AO57" s="785"/>
      <c r="AP57" s="785"/>
      <c r="AQ57" s="785"/>
      <c r="AR57" s="785"/>
      <c r="AS57" s="785"/>
      <c r="AT57" s="785"/>
      <c r="AU57" s="785"/>
      <c r="AV57" s="785"/>
      <c r="AW57" s="785"/>
      <c r="AX57" s="785"/>
      <c r="AY57" s="785"/>
      <c r="AZ57" s="785"/>
      <c r="BA57" s="785"/>
      <c r="BB57" s="785"/>
      <c r="BC57" s="785"/>
      <c r="BD57" s="785"/>
      <c r="BE57" s="785"/>
      <c r="BF57" s="785"/>
      <c r="BG57" s="785"/>
      <c r="BH57" s="785"/>
      <c r="BI57" s="785"/>
      <c r="BJ57" s="785"/>
      <c r="BK57" s="785"/>
      <c r="BL57" s="785"/>
      <c r="BM57" s="785"/>
      <c r="BN57" s="785"/>
      <c r="BO57" s="785"/>
      <c r="BP57" s="785"/>
      <c r="BQ57" s="785"/>
      <c r="BR57" s="785"/>
      <c r="BS57" s="785"/>
      <c r="BT57" s="785"/>
      <c r="BU57" s="785"/>
      <c r="BV57" s="785"/>
      <c r="BW57" s="785"/>
      <c r="BX57" s="785"/>
      <c r="BY57" s="785"/>
      <c r="BZ57" s="785"/>
      <c r="CA57" s="782"/>
      <c r="CB57" s="782"/>
      <c r="CC57" s="782"/>
      <c r="CD57" s="782"/>
      <c r="CE57" s="782"/>
      <c r="CF57" s="782"/>
      <c r="CG57" s="782"/>
      <c r="CH57" s="782"/>
      <c r="CI57" s="782"/>
      <c r="CJ57" s="782"/>
      <c r="CK57" s="782"/>
      <c r="CL57" s="782"/>
      <c r="CM57" s="782"/>
      <c r="CN57" s="782"/>
      <c r="CO57" s="782"/>
      <c r="CP57" s="782"/>
      <c r="CQ57" s="782"/>
      <c r="CR57" s="782"/>
      <c r="CS57" s="782"/>
      <c r="CT57" s="782"/>
      <c r="CU57" s="782"/>
      <c r="CV57" s="782"/>
      <c r="CW57" s="782"/>
      <c r="CX57" s="782"/>
      <c r="CY57" s="782"/>
      <c r="CZ57" s="782"/>
      <c r="DA57" s="782"/>
      <c r="DB57" s="782"/>
      <c r="DC57" s="782"/>
      <c r="DD57" s="782"/>
      <c r="DE57" s="782"/>
      <c r="DF57" s="782"/>
      <c r="DG57" s="782"/>
      <c r="DH57" s="782"/>
      <c r="DI57" s="782"/>
      <c r="DJ57" s="782"/>
      <c r="DK57" s="782"/>
      <c r="DL57" s="782"/>
      <c r="DM57" s="782"/>
      <c r="DN57" s="782"/>
      <c r="DO57" s="782"/>
      <c r="DP57" s="782"/>
      <c r="DQ57" s="782"/>
      <c r="DR57" s="782"/>
      <c r="DS57" s="782"/>
      <c r="DT57" s="782"/>
      <c r="DU57" s="782"/>
      <c r="DV57" s="782"/>
      <c r="DW57" s="782"/>
      <c r="DX57" s="782"/>
      <c r="DY57" s="782"/>
      <c r="DZ57" s="782"/>
      <c r="EA57" s="782"/>
      <c r="EB57" s="782"/>
      <c r="EC57" s="782"/>
      <c r="ED57" s="782"/>
      <c r="EE57" s="782"/>
      <c r="EF57" s="782"/>
      <c r="EG57" s="782"/>
      <c r="EH57" s="782"/>
      <c r="EI57" s="782"/>
      <c r="EJ57" s="782"/>
      <c r="EK57" s="782"/>
      <c r="EL57" s="782"/>
      <c r="EM57" s="782"/>
      <c r="EN57" s="782"/>
      <c r="EO57" s="782"/>
      <c r="EP57" s="782"/>
      <c r="EQ57" s="782"/>
      <c r="ER57" s="782"/>
      <c r="ES57" s="782"/>
      <c r="ET57" s="782"/>
      <c r="EU57" s="782"/>
      <c r="EV57" s="782"/>
      <c r="EW57" s="782"/>
      <c r="EX57" s="782"/>
      <c r="EY57" s="782"/>
      <c r="EZ57" s="782"/>
      <c r="FA57" s="782"/>
      <c r="FB57" s="782"/>
      <c r="FC57" s="782"/>
      <c r="FD57" s="782"/>
      <c r="FE57" s="782"/>
      <c r="FF57" s="782"/>
      <c r="FG57" s="782"/>
      <c r="FH57" s="782"/>
      <c r="FI57" s="782"/>
      <c r="FJ57" s="782"/>
      <c r="FK57" s="782"/>
      <c r="FL57" s="782"/>
      <c r="FM57" s="782"/>
      <c r="FN57" s="782"/>
      <c r="FO57" s="782"/>
      <c r="FP57" s="782"/>
      <c r="FQ57" s="782"/>
      <c r="FR57" s="782"/>
      <c r="FS57" s="782"/>
      <c r="FT57" s="782"/>
      <c r="FU57" s="782"/>
      <c r="FV57" s="782"/>
      <c r="FW57" s="782"/>
      <c r="FX57" s="782"/>
      <c r="FY57" s="782"/>
      <c r="FZ57" s="782"/>
      <c r="GA57" s="782"/>
      <c r="GB57" s="782"/>
      <c r="GC57" s="782"/>
      <c r="GD57" s="782"/>
      <c r="GE57" s="782"/>
      <c r="GF57" s="782"/>
      <c r="GG57" s="782"/>
      <c r="GH57" s="782"/>
      <c r="GI57" s="782"/>
      <c r="GJ57" s="782"/>
      <c r="GK57" s="782"/>
      <c r="GL57" s="782"/>
      <c r="GM57" s="782"/>
      <c r="GN57" s="782"/>
      <c r="GO57" s="782"/>
      <c r="GP57" s="782"/>
      <c r="GQ57" s="782"/>
      <c r="GR57" s="782"/>
      <c r="GS57" s="782"/>
      <c r="GT57" s="782"/>
      <c r="GU57" s="782"/>
      <c r="GV57" s="782"/>
      <c r="GW57" s="782"/>
      <c r="GX57" s="782"/>
      <c r="GY57" s="782"/>
      <c r="GZ57" s="782"/>
      <c r="HA57" s="782"/>
      <c r="HB57" s="782"/>
      <c r="HC57" s="782"/>
      <c r="HD57" s="782"/>
      <c r="HE57" s="782"/>
      <c r="HF57" s="782"/>
      <c r="HG57" s="782"/>
      <c r="HH57" s="782"/>
      <c r="HI57" s="782"/>
      <c r="HJ57" s="782"/>
      <c r="HK57" s="782"/>
      <c r="HL57" s="782"/>
      <c r="HM57" s="782"/>
      <c r="HN57" s="782"/>
      <c r="HO57" s="782"/>
      <c r="HP57" s="782"/>
      <c r="HQ57" s="782"/>
      <c r="HR57" s="782"/>
      <c r="HS57" s="782"/>
      <c r="HT57" s="782"/>
      <c r="HU57" s="782"/>
      <c r="HV57" s="782"/>
      <c r="HW57" s="782"/>
      <c r="HX57" s="782"/>
      <c r="HY57" s="782"/>
      <c r="HZ57" s="782"/>
      <c r="IA57" s="782"/>
      <c r="IB57" s="782"/>
      <c r="IC57" s="782"/>
      <c r="ID57" s="782"/>
      <c r="IE57" s="782"/>
      <c r="IF57" s="782"/>
      <c r="IG57" s="782"/>
      <c r="IH57" s="782"/>
      <c r="II57" s="782"/>
      <c r="IJ57" s="782"/>
      <c r="IK57" s="782"/>
      <c r="IL57" s="782"/>
      <c r="IM57" s="782"/>
      <c r="IN57" s="782"/>
      <c r="IO57" s="782"/>
      <c r="IP57" s="782"/>
      <c r="IQ57" s="782"/>
      <c r="IR57" s="782"/>
      <c r="IS57" s="782"/>
      <c r="IT57" s="782"/>
      <c r="IU57" s="782"/>
      <c r="IV57" s="782"/>
      <c r="IW57" s="782"/>
      <c r="IX57" s="782"/>
      <c r="IY57" s="782"/>
      <c r="IZ57" s="782"/>
      <c r="JA57" s="782"/>
      <c r="JB57" s="782"/>
      <c r="JC57" s="782"/>
      <c r="JD57" s="782"/>
      <c r="JE57" s="782"/>
      <c r="JF57" s="782"/>
      <c r="JG57" s="782"/>
      <c r="JH57" s="782"/>
      <c r="JI57" s="782"/>
      <c r="JJ57" s="782"/>
      <c r="JK57" s="782"/>
      <c r="JL57" s="782"/>
      <c r="JM57" s="782"/>
      <c r="JN57" s="782"/>
      <c r="JO57" s="782"/>
      <c r="JP57" s="782"/>
      <c r="JQ57" s="782"/>
      <c r="JR57" s="782"/>
      <c r="JS57" s="782"/>
      <c r="JT57" s="782"/>
      <c r="JU57" s="782"/>
      <c r="JV57" s="782"/>
      <c r="JW57" s="782"/>
      <c r="JX57" s="782"/>
      <c r="JY57" s="782"/>
      <c r="JZ57" s="782"/>
      <c r="KA57" s="782"/>
      <c r="KB57" s="782"/>
      <c r="KC57" s="782"/>
      <c r="KD57" s="782"/>
      <c r="KE57" s="782"/>
      <c r="KF57" s="782"/>
      <c r="KG57" s="782"/>
      <c r="KH57" s="782"/>
      <c r="KI57" s="782"/>
      <c r="KJ57" s="782"/>
      <c r="KK57" s="782"/>
      <c r="KL57" s="782"/>
      <c r="KM57" s="782"/>
      <c r="KN57" s="782"/>
      <c r="KO57" s="782"/>
      <c r="KP57" s="782"/>
      <c r="KQ57" s="782"/>
      <c r="KR57" s="782"/>
      <c r="KS57" s="782"/>
      <c r="KT57" s="782"/>
      <c r="KU57" s="782"/>
      <c r="KV57" s="782"/>
      <c r="KW57" s="782"/>
      <c r="KX57" s="782"/>
      <c r="KY57" s="782"/>
      <c r="KZ57" s="782"/>
      <c r="LA57" s="782"/>
      <c r="LB57" s="782"/>
      <c r="LC57" s="782"/>
      <c r="LD57" s="782"/>
      <c r="LE57" s="782"/>
      <c r="LF57" s="782"/>
      <c r="LG57" s="782"/>
      <c r="LH57" s="782"/>
      <c r="LI57" s="782"/>
      <c r="LJ57" s="782"/>
      <c r="LK57" s="782"/>
      <c r="LL57" s="782"/>
      <c r="LM57" s="782"/>
      <c r="LN57" s="782"/>
      <c r="LO57" s="782"/>
      <c r="LP57" s="782"/>
      <c r="LQ57" s="782"/>
      <c r="LR57" s="782"/>
      <c r="LS57" s="782"/>
      <c r="LT57" s="782"/>
      <c r="LU57" s="782"/>
      <c r="LV57" s="782"/>
      <c r="LW57" s="782"/>
      <c r="LX57" s="782"/>
      <c r="LY57" s="782"/>
      <c r="LZ57" s="782"/>
      <c r="MA57" s="782"/>
      <c r="MB57" s="782"/>
      <c r="MC57" s="782"/>
      <c r="MD57" s="782"/>
      <c r="ME57" s="782"/>
      <c r="MF57" s="782"/>
      <c r="MG57" s="782"/>
      <c r="MH57" s="782"/>
      <c r="MI57" s="782"/>
      <c r="MJ57" s="782"/>
      <c r="MK57" s="782"/>
      <c r="ML57" s="782"/>
      <c r="MM57" s="782"/>
      <c r="MN57" s="782"/>
      <c r="MO57" s="782"/>
      <c r="MP57" s="782"/>
      <c r="MQ57" s="782"/>
      <c r="MR57" s="782"/>
      <c r="MS57" s="782"/>
      <c r="MT57" s="782"/>
      <c r="MU57" s="782"/>
      <c r="MV57" s="782"/>
      <c r="MW57" s="782"/>
      <c r="MX57" s="782"/>
      <c r="MY57" s="782"/>
      <c r="MZ57" s="782"/>
      <c r="NA57" s="782"/>
      <c r="NB57" s="782"/>
      <c r="NC57" s="782"/>
      <c r="ND57" s="782"/>
      <c r="NE57" s="782"/>
      <c r="NF57" s="782"/>
      <c r="NG57" s="782"/>
      <c r="NH57" s="782"/>
      <c r="NI57" s="782"/>
      <c r="NJ57" s="782"/>
      <c r="NK57" s="782"/>
      <c r="NL57" s="782"/>
      <c r="NM57" s="782"/>
      <c r="NN57" s="782"/>
      <c r="NO57" s="782"/>
      <c r="NP57" s="782"/>
      <c r="NQ57" s="782"/>
      <c r="NR57" s="782"/>
      <c r="NS57" s="782"/>
      <c r="NT57" s="782"/>
      <c r="NU57" s="782"/>
      <c r="NV57" s="782"/>
      <c r="NW57" s="782"/>
      <c r="NX57" s="782"/>
      <c r="NY57" s="782"/>
      <c r="NZ57" s="782"/>
      <c r="OA57" s="782"/>
      <c r="OB57" s="782"/>
      <c r="OC57" s="782"/>
      <c r="OD57" s="782"/>
      <c r="OE57" s="782"/>
      <c r="OF57" s="782"/>
      <c r="OG57" s="782"/>
      <c r="OH57" s="782"/>
      <c r="OI57" s="782"/>
      <c r="OJ57" s="782"/>
      <c r="OK57" s="782"/>
      <c r="OL57" s="782"/>
      <c r="OM57" s="782"/>
      <c r="ON57" s="782"/>
      <c r="OO57" s="782"/>
      <c r="OP57" s="782"/>
      <c r="OQ57" s="782"/>
      <c r="OR57" s="782"/>
      <c r="OS57" s="782"/>
      <c r="OT57" s="782"/>
      <c r="OU57" s="782"/>
      <c r="OV57" s="782"/>
      <c r="OW57" s="782"/>
      <c r="OX57" s="782"/>
      <c r="OY57" s="782"/>
      <c r="OZ57" s="782"/>
      <c r="PA57" s="782"/>
      <c r="PB57" s="782"/>
      <c r="PC57" s="782"/>
      <c r="PD57" s="782"/>
      <c r="PE57" s="782"/>
      <c r="PF57" s="782"/>
      <c r="PG57" s="782"/>
      <c r="PH57" s="782"/>
      <c r="PI57" s="782"/>
      <c r="PJ57" s="782"/>
      <c r="PK57" s="782"/>
      <c r="PL57" s="782"/>
      <c r="PM57" s="782"/>
      <c r="PN57" s="782"/>
      <c r="PO57" s="782"/>
      <c r="PP57" s="782"/>
      <c r="PQ57" s="782"/>
      <c r="PR57" s="782"/>
      <c r="PS57" s="782"/>
      <c r="PT57" s="782"/>
      <c r="PU57" s="782"/>
      <c r="PV57" s="782"/>
      <c r="PW57" s="782"/>
      <c r="PX57" s="782"/>
      <c r="PY57" s="782"/>
      <c r="PZ57" s="782"/>
      <c r="QA57" s="782"/>
      <c r="QB57" s="782"/>
      <c r="QC57" s="782"/>
      <c r="QD57" s="782"/>
      <c r="QE57" s="782"/>
      <c r="QF57" s="782"/>
      <c r="QG57" s="782"/>
      <c r="QH57" s="782"/>
      <c r="QI57" s="782"/>
      <c r="QJ57" s="782"/>
      <c r="QK57" s="782"/>
      <c r="QL57" s="782"/>
      <c r="QM57" s="782"/>
      <c r="QN57" s="782"/>
      <c r="QO57" s="782"/>
      <c r="QP57" s="782"/>
      <c r="QQ57" s="782"/>
      <c r="QR57" s="782"/>
      <c r="QS57" s="782"/>
      <c r="QT57" s="782"/>
      <c r="QU57" s="782"/>
      <c r="QV57" s="782"/>
      <c r="QW57" s="782"/>
      <c r="QX57" s="782"/>
      <c r="QY57" s="782"/>
      <c r="QZ57" s="782"/>
      <c r="RA57" s="782"/>
      <c r="RB57" s="782"/>
      <c r="RC57" s="782"/>
      <c r="RD57" s="782"/>
      <c r="RE57" s="782"/>
      <c r="RF57" s="782"/>
      <c r="RG57" s="782"/>
      <c r="RH57" s="782"/>
      <c r="RI57" s="782"/>
      <c r="RJ57" s="782"/>
      <c r="RK57" s="782"/>
      <c r="RL57" s="782"/>
      <c r="RM57" s="782"/>
      <c r="RN57" s="782"/>
      <c r="RO57" s="782"/>
      <c r="RP57" s="782"/>
      <c r="RQ57" s="782"/>
      <c r="RR57" s="782"/>
      <c r="RS57" s="782"/>
      <c r="RT57" s="782"/>
      <c r="RU57" s="782"/>
      <c r="RV57" s="782"/>
      <c r="RW57" s="782"/>
      <c r="RX57" s="782"/>
    </row>
    <row r="58" spans="1:492" s="143" customFormat="1">
      <c r="A58" s="782"/>
      <c r="B58" s="782"/>
      <c r="C58" s="782"/>
      <c r="D58" s="782"/>
      <c r="E58" s="782"/>
      <c r="F58" s="782"/>
      <c r="G58" s="782"/>
      <c r="H58" s="782"/>
      <c r="I58" s="782"/>
      <c r="J58" s="782"/>
      <c r="K58" s="782"/>
      <c r="L58" s="782"/>
      <c r="M58" s="782"/>
      <c r="N58" s="782"/>
      <c r="O58" s="782"/>
      <c r="P58" s="782"/>
      <c r="Q58" s="782"/>
      <c r="R58" s="782"/>
      <c r="S58" s="782"/>
      <c r="T58" s="782"/>
      <c r="U58" s="782"/>
      <c r="V58" s="782"/>
      <c r="W58" s="782"/>
      <c r="X58" s="782"/>
      <c r="Y58" s="782"/>
      <c r="Z58" s="782"/>
      <c r="AA58" s="782"/>
      <c r="AB58" s="782"/>
      <c r="AC58" s="782"/>
      <c r="AD58" s="782"/>
      <c r="AE58" s="782"/>
      <c r="AF58" s="782"/>
      <c r="AG58" s="782"/>
      <c r="AH58" s="782"/>
      <c r="AI58" s="782"/>
      <c r="AJ58" s="782"/>
      <c r="AK58" s="782"/>
      <c r="AL58" s="782"/>
      <c r="AM58" s="785"/>
      <c r="AN58" s="785"/>
      <c r="AO58" s="785"/>
      <c r="AP58" s="785"/>
      <c r="AQ58" s="785"/>
      <c r="AR58" s="785"/>
      <c r="AS58" s="785"/>
      <c r="AT58" s="785"/>
      <c r="AU58" s="785"/>
      <c r="AV58" s="785"/>
      <c r="AW58" s="785"/>
      <c r="AX58" s="785"/>
      <c r="AY58" s="785"/>
      <c r="AZ58" s="785"/>
      <c r="BA58" s="785"/>
      <c r="BB58" s="785"/>
      <c r="BC58" s="785"/>
      <c r="BD58" s="785"/>
      <c r="BE58" s="785"/>
      <c r="BF58" s="785"/>
      <c r="BG58" s="785"/>
      <c r="BH58" s="785"/>
      <c r="BI58" s="785"/>
      <c r="BJ58" s="785"/>
      <c r="BK58" s="785"/>
      <c r="BL58" s="785"/>
      <c r="BM58" s="785"/>
      <c r="BN58" s="785"/>
      <c r="BO58" s="785"/>
      <c r="BP58" s="785"/>
      <c r="BQ58" s="785"/>
      <c r="BR58" s="785"/>
      <c r="BS58" s="785"/>
      <c r="BT58" s="785"/>
      <c r="BU58" s="785"/>
      <c r="BV58" s="785"/>
      <c r="BW58" s="785"/>
      <c r="BX58" s="785"/>
      <c r="BY58" s="785"/>
      <c r="BZ58" s="785"/>
      <c r="CA58" s="782"/>
      <c r="CB58" s="782"/>
      <c r="CC58" s="782"/>
      <c r="CD58" s="782"/>
      <c r="CE58" s="782"/>
      <c r="CF58" s="782"/>
      <c r="CG58" s="782"/>
      <c r="CH58" s="782"/>
      <c r="CI58" s="782"/>
      <c r="CJ58" s="782"/>
      <c r="CK58" s="782"/>
      <c r="CL58" s="782"/>
      <c r="CM58" s="782"/>
      <c r="CN58" s="782"/>
      <c r="CO58" s="782"/>
      <c r="CP58" s="782"/>
      <c r="CQ58" s="782"/>
      <c r="CR58" s="782"/>
      <c r="CS58" s="782"/>
      <c r="CT58" s="782"/>
      <c r="CU58" s="782"/>
      <c r="CV58" s="782"/>
      <c r="CW58" s="782"/>
      <c r="CX58" s="782"/>
      <c r="CY58" s="782"/>
      <c r="CZ58" s="782"/>
      <c r="DA58" s="782"/>
      <c r="DB58" s="782"/>
      <c r="DC58" s="782"/>
      <c r="DD58" s="782"/>
      <c r="DE58" s="782"/>
      <c r="DF58" s="782"/>
      <c r="DG58" s="782"/>
      <c r="DH58" s="782"/>
      <c r="DI58" s="782"/>
      <c r="DJ58" s="782"/>
      <c r="DK58" s="782"/>
      <c r="DL58" s="782"/>
      <c r="DM58" s="782"/>
      <c r="DN58" s="782"/>
      <c r="DO58" s="782"/>
      <c r="DP58" s="782"/>
      <c r="DQ58" s="782"/>
      <c r="DR58" s="782"/>
      <c r="DS58" s="782"/>
      <c r="DT58" s="782"/>
      <c r="DU58" s="782"/>
      <c r="DV58" s="782"/>
      <c r="DW58" s="782"/>
      <c r="DX58" s="782"/>
      <c r="DY58" s="782"/>
      <c r="DZ58" s="782"/>
      <c r="EA58" s="782"/>
      <c r="EB58" s="782"/>
      <c r="EC58" s="782"/>
      <c r="ED58" s="782"/>
      <c r="EE58" s="782"/>
      <c r="EF58" s="782"/>
      <c r="EG58" s="782"/>
      <c r="EH58" s="782"/>
      <c r="EI58" s="782"/>
      <c r="EJ58" s="782"/>
      <c r="EK58" s="782"/>
      <c r="EL58" s="782"/>
      <c r="EM58" s="782"/>
      <c r="EN58" s="782"/>
      <c r="EO58" s="782"/>
      <c r="EP58" s="782"/>
      <c r="EQ58" s="782"/>
      <c r="ER58" s="782"/>
      <c r="ES58" s="782"/>
      <c r="ET58" s="782"/>
      <c r="EU58" s="782"/>
      <c r="EV58" s="782"/>
      <c r="EW58" s="782"/>
      <c r="EX58" s="782"/>
      <c r="EY58" s="782"/>
      <c r="EZ58" s="782"/>
      <c r="FA58" s="782"/>
      <c r="FB58" s="782"/>
      <c r="FC58" s="782"/>
      <c r="FD58" s="782"/>
      <c r="FE58" s="782"/>
      <c r="FF58" s="782"/>
      <c r="FG58" s="782"/>
      <c r="FH58" s="782"/>
      <c r="FI58" s="782"/>
      <c r="FJ58" s="782"/>
      <c r="FK58" s="782"/>
      <c r="FL58" s="782"/>
      <c r="FM58" s="782"/>
      <c r="FN58" s="782"/>
      <c r="FO58" s="782"/>
      <c r="FP58" s="782"/>
      <c r="FQ58" s="782"/>
      <c r="FR58" s="782"/>
      <c r="FS58" s="782"/>
      <c r="FT58" s="782"/>
      <c r="FU58" s="782"/>
      <c r="FV58" s="782"/>
      <c r="FW58" s="782"/>
      <c r="FX58" s="782"/>
      <c r="FY58" s="782"/>
      <c r="FZ58" s="782"/>
      <c r="GA58" s="782"/>
      <c r="GB58" s="782"/>
      <c r="GC58" s="782"/>
      <c r="GD58" s="782"/>
      <c r="GE58" s="782"/>
      <c r="GF58" s="782"/>
      <c r="GG58" s="782"/>
      <c r="GH58" s="782"/>
      <c r="GI58" s="782"/>
      <c r="GJ58" s="782"/>
      <c r="GK58" s="782"/>
      <c r="GL58" s="782"/>
      <c r="GM58" s="782"/>
      <c r="GN58" s="782"/>
      <c r="GO58" s="782"/>
      <c r="GP58" s="782"/>
      <c r="GQ58" s="782"/>
      <c r="GR58" s="782"/>
      <c r="GS58" s="782"/>
      <c r="GT58" s="782"/>
      <c r="GU58" s="782"/>
      <c r="GV58" s="782"/>
      <c r="GW58" s="782"/>
      <c r="GX58" s="782"/>
      <c r="GY58" s="782"/>
      <c r="GZ58" s="782"/>
      <c r="HA58" s="782"/>
      <c r="HB58" s="782"/>
      <c r="HC58" s="782"/>
      <c r="HD58" s="782"/>
      <c r="HE58" s="782"/>
      <c r="HF58" s="782"/>
      <c r="HG58" s="782"/>
      <c r="HH58" s="782"/>
      <c r="HI58" s="782"/>
      <c r="HJ58" s="782"/>
      <c r="HK58" s="782"/>
      <c r="HL58" s="782"/>
      <c r="HM58" s="782"/>
      <c r="HN58" s="782"/>
      <c r="HO58" s="782"/>
      <c r="HP58" s="782"/>
      <c r="HQ58" s="782"/>
      <c r="HR58" s="782"/>
      <c r="HS58" s="782"/>
      <c r="HT58" s="782"/>
      <c r="HU58" s="782"/>
      <c r="HV58" s="782"/>
      <c r="HW58" s="782"/>
      <c r="HX58" s="782"/>
      <c r="HY58" s="782"/>
      <c r="HZ58" s="782"/>
      <c r="IA58" s="782"/>
      <c r="IB58" s="782"/>
      <c r="IC58" s="782"/>
      <c r="ID58" s="782"/>
      <c r="IE58" s="782"/>
      <c r="IF58" s="782"/>
      <c r="IG58" s="782"/>
      <c r="IH58" s="782"/>
      <c r="II58" s="782"/>
      <c r="IJ58" s="782"/>
      <c r="IK58" s="782"/>
      <c r="IL58" s="782"/>
      <c r="IM58" s="782"/>
      <c r="IN58" s="782"/>
      <c r="IO58" s="782"/>
      <c r="IP58" s="782"/>
      <c r="IQ58" s="782"/>
      <c r="IR58" s="782"/>
      <c r="IS58" s="782"/>
      <c r="IT58" s="782"/>
      <c r="IU58" s="782"/>
      <c r="IV58" s="782"/>
      <c r="IW58" s="782"/>
      <c r="IX58" s="782"/>
      <c r="IY58" s="782"/>
      <c r="IZ58" s="782"/>
      <c r="JA58" s="782"/>
      <c r="JB58" s="782"/>
      <c r="JC58" s="782"/>
      <c r="JD58" s="782"/>
      <c r="JE58" s="782"/>
      <c r="JF58" s="782"/>
      <c r="JG58" s="782"/>
      <c r="JH58" s="782"/>
      <c r="JI58" s="782"/>
      <c r="JJ58" s="782"/>
      <c r="JK58" s="782"/>
      <c r="JL58" s="782"/>
      <c r="JM58" s="782"/>
      <c r="JN58" s="782"/>
      <c r="JO58" s="782"/>
      <c r="JP58" s="782"/>
      <c r="JQ58" s="782"/>
      <c r="JR58" s="782"/>
      <c r="JS58" s="782"/>
      <c r="JT58" s="782"/>
      <c r="JU58" s="782"/>
      <c r="JV58" s="782"/>
      <c r="JW58" s="782"/>
      <c r="JX58" s="782"/>
      <c r="JY58" s="782"/>
      <c r="JZ58" s="782"/>
      <c r="KA58" s="782"/>
      <c r="KB58" s="782"/>
      <c r="KC58" s="782"/>
      <c r="KD58" s="782"/>
      <c r="KE58" s="782"/>
      <c r="KF58" s="782"/>
      <c r="KG58" s="782"/>
      <c r="KH58" s="782"/>
      <c r="KI58" s="782"/>
      <c r="KJ58" s="782"/>
      <c r="KK58" s="782"/>
      <c r="KL58" s="782"/>
      <c r="KM58" s="782"/>
      <c r="KN58" s="782"/>
      <c r="KO58" s="782"/>
      <c r="KP58" s="782"/>
      <c r="KQ58" s="782"/>
      <c r="KR58" s="782"/>
      <c r="KS58" s="782"/>
      <c r="KT58" s="782"/>
      <c r="KU58" s="782"/>
      <c r="KV58" s="782"/>
      <c r="KW58" s="782"/>
      <c r="KX58" s="782"/>
      <c r="KY58" s="782"/>
      <c r="KZ58" s="782"/>
      <c r="LA58" s="782"/>
      <c r="LB58" s="782"/>
      <c r="LC58" s="782"/>
      <c r="LD58" s="782"/>
      <c r="LE58" s="782"/>
      <c r="LF58" s="782"/>
      <c r="LG58" s="782"/>
      <c r="LH58" s="782"/>
      <c r="LI58" s="782"/>
      <c r="LJ58" s="782"/>
      <c r="LK58" s="782"/>
      <c r="LL58" s="782"/>
      <c r="LM58" s="782"/>
      <c r="LN58" s="782"/>
      <c r="LO58" s="782"/>
      <c r="LP58" s="782"/>
      <c r="LQ58" s="782"/>
      <c r="LR58" s="782"/>
      <c r="LS58" s="782"/>
      <c r="LT58" s="782"/>
      <c r="LU58" s="782"/>
      <c r="LV58" s="782"/>
      <c r="LW58" s="782"/>
      <c r="LX58" s="782"/>
      <c r="LY58" s="782"/>
      <c r="LZ58" s="782"/>
      <c r="MA58" s="782"/>
      <c r="MB58" s="782"/>
      <c r="MC58" s="782"/>
      <c r="MD58" s="782"/>
      <c r="ME58" s="782"/>
      <c r="MF58" s="782"/>
      <c r="MG58" s="782"/>
      <c r="MH58" s="782"/>
      <c r="MI58" s="782"/>
      <c r="MJ58" s="782"/>
      <c r="MK58" s="782"/>
      <c r="ML58" s="782"/>
      <c r="MM58" s="782"/>
      <c r="MN58" s="782"/>
      <c r="MO58" s="782"/>
      <c r="MP58" s="782"/>
      <c r="MQ58" s="782"/>
      <c r="MR58" s="782"/>
      <c r="MS58" s="782"/>
      <c r="MT58" s="782"/>
      <c r="MU58" s="782"/>
      <c r="MV58" s="782"/>
      <c r="MW58" s="782"/>
      <c r="MX58" s="782"/>
      <c r="MY58" s="782"/>
      <c r="MZ58" s="782"/>
      <c r="NA58" s="782"/>
      <c r="NB58" s="782"/>
      <c r="NC58" s="782"/>
      <c r="ND58" s="782"/>
      <c r="NE58" s="782"/>
      <c r="NF58" s="782"/>
      <c r="NG58" s="782"/>
      <c r="NH58" s="782"/>
      <c r="NI58" s="782"/>
      <c r="NJ58" s="782"/>
      <c r="NK58" s="782"/>
      <c r="NL58" s="782"/>
      <c r="NM58" s="782"/>
      <c r="NN58" s="782"/>
      <c r="NO58" s="782"/>
      <c r="NP58" s="782"/>
      <c r="NQ58" s="782"/>
      <c r="NR58" s="782"/>
      <c r="NS58" s="782"/>
      <c r="NT58" s="782"/>
      <c r="NU58" s="782"/>
      <c r="NV58" s="782"/>
      <c r="NW58" s="782"/>
      <c r="NX58" s="782"/>
      <c r="NY58" s="782"/>
      <c r="NZ58" s="782"/>
      <c r="OA58" s="782"/>
      <c r="OB58" s="782"/>
      <c r="OC58" s="782"/>
      <c r="OD58" s="782"/>
      <c r="OE58" s="782"/>
      <c r="OF58" s="782"/>
      <c r="OG58" s="782"/>
      <c r="OH58" s="782"/>
      <c r="OI58" s="782"/>
      <c r="OJ58" s="782"/>
      <c r="OK58" s="782"/>
      <c r="OL58" s="782"/>
      <c r="OM58" s="782"/>
      <c r="ON58" s="782"/>
      <c r="OO58" s="782"/>
      <c r="OP58" s="782"/>
      <c r="OQ58" s="782"/>
      <c r="OR58" s="782"/>
      <c r="OS58" s="782"/>
      <c r="OT58" s="782"/>
      <c r="OU58" s="782"/>
      <c r="OV58" s="782"/>
      <c r="OW58" s="782"/>
      <c r="OX58" s="782"/>
      <c r="OY58" s="782"/>
      <c r="OZ58" s="782"/>
      <c r="PA58" s="782"/>
      <c r="PB58" s="782"/>
      <c r="PC58" s="782"/>
      <c r="PD58" s="782"/>
      <c r="PE58" s="782"/>
      <c r="PF58" s="782"/>
      <c r="PG58" s="782"/>
      <c r="PH58" s="782"/>
      <c r="PI58" s="782"/>
      <c r="PJ58" s="782"/>
      <c r="PK58" s="782"/>
      <c r="PL58" s="782"/>
      <c r="PM58" s="782"/>
      <c r="PN58" s="782"/>
      <c r="PO58" s="782"/>
      <c r="PP58" s="782"/>
      <c r="PQ58" s="782"/>
      <c r="PR58" s="782"/>
      <c r="PS58" s="782"/>
      <c r="PT58" s="782"/>
      <c r="PU58" s="782"/>
      <c r="PV58" s="782"/>
      <c r="PW58" s="782"/>
      <c r="PX58" s="782"/>
      <c r="PY58" s="782"/>
      <c r="PZ58" s="782"/>
      <c r="QA58" s="782"/>
      <c r="QB58" s="782"/>
      <c r="QC58" s="782"/>
      <c r="QD58" s="782"/>
      <c r="QE58" s="782"/>
      <c r="QF58" s="782"/>
      <c r="QG58" s="782"/>
      <c r="QH58" s="782"/>
      <c r="QI58" s="782"/>
      <c r="QJ58" s="782"/>
      <c r="QK58" s="782"/>
      <c r="QL58" s="782"/>
      <c r="QM58" s="782"/>
      <c r="QN58" s="782"/>
      <c r="QO58" s="782"/>
      <c r="QP58" s="782"/>
      <c r="QQ58" s="782"/>
      <c r="QR58" s="782"/>
      <c r="QS58" s="782"/>
      <c r="QT58" s="782"/>
      <c r="QU58" s="782"/>
      <c r="QV58" s="782"/>
      <c r="QW58" s="782"/>
      <c r="QX58" s="782"/>
      <c r="QY58" s="782"/>
      <c r="QZ58" s="782"/>
      <c r="RA58" s="782"/>
      <c r="RB58" s="782"/>
      <c r="RC58" s="782"/>
      <c r="RD58" s="782"/>
      <c r="RE58" s="782"/>
      <c r="RF58" s="782"/>
      <c r="RG58" s="782"/>
      <c r="RH58" s="782"/>
      <c r="RI58" s="782"/>
      <c r="RJ58" s="782"/>
      <c r="RK58" s="782"/>
      <c r="RL58" s="782"/>
      <c r="RM58" s="782"/>
      <c r="RN58" s="782"/>
      <c r="RO58" s="782"/>
      <c r="RP58" s="782"/>
      <c r="RQ58" s="782"/>
      <c r="RR58" s="782"/>
      <c r="RS58" s="782"/>
      <c r="RT58" s="782"/>
      <c r="RU58" s="782"/>
      <c r="RV58" s="782"/>
      <c r="RW58" s="782"/>
      <c r="RX58" s="782"/>
    </row>
    <row r="59" spans="1:492" s="143" customFormat="1">
      <c r="A59" s="782"/>
      <c r="B59" s="782"/>
      <c r="C59" s="782"/>
      <c r="D59" s="782"/>
      <c r="E59" s="782"/>
      <c r="F59" s="782"/>
      <c r="G59" s="782"/>
      <c r="H59" s="782"/>
      <c r="I59" s="782"/>
      <c r="J59" s="782"/>
      <c r="K59" s="782"/>
      <c r="L59" s="782"/>
      <c r="M59" s="782"/>
      <c r="N59" s="782"/>
      <c r="O59" s="782"/>
      <c r="P59" s="782"/>
      <c r="Q59" s="782"/>
      <c r="R59" s="782"/>
      <c r="S59" s="782"/>
      <c r="T59" s="782"/>
      <c r="U59" s="782"/>
      <c r="V59" s="782"/>
      <c r="W59" s="782"/>
      <c r="X59" s="782"/>
      <c r="Y59" s="782"/>
      <c r="Z59" s="782"/>
      <c r="AA59" s="782"/>
      <c r="AB59" s="782"/>
      <c r="AC59" s="782"/>
      <c r="AD59" s="782"/>
      <c r="AE59" s="782"/>
      <c r="AF59" s="782"/>
      <c r="AG59" s="782"/>
      <c r="AH59" s="782"/>
      <c r="AI59" s="782"/>
      <c r="AJ59" s="782"/>
      <c r="AK59" s="782"/>
      <c r="AL59" s="782"/>
      <c r="AM59" s="785"/>
      <c r="AN59" s="785"/>
      <c r="AO59" s="785"/>
      <c r="AP59" s="785"/>
      <c r="AQ59" s="785"/>
      <c r="AR59" s="785"/>
      <c r="AS59" s="785"/>
      <c r="AT59" s="785"/>
      <c r="AU59" s="785"/>
      <c r="AV59" s="785"/>
      <c r="AW59" s="785"/>
      <c r="AX59" s="785"/>
      <c r="AY59" s="785"/>
      <c r="AZ59" s="785"/>
      <c r="BA59" s="785"/>
      <c r="BB59" s="785"/>
      <c r="BC59" s="785"/>
      <c r="BD59" s="785"/>
      <c r="BE59" s="785"/>
      <c r="BF59" s="785"/>
      <c r="BG59" s="785"/>
      <c r="BH59" s="785"/>
      <c r="BI59" s="785"/>
      <c r="BJ59" s="785"/>
      <c r="BK59" s="785"/>
      <c r="BL59" s="785"/>
      <c r="BM59" s="785"/>
      <c r="BN59" s="785"/>
      <c r="BO59" s="785"/>
      <c r="BP59" s="785"/>
      <c r="BQ59" s="785"/>
      <c r="BR59" s="785"/>
      <c r="BS59" s="785"/>
      <c r="BT59" s="785"/>
      <c r="BU59" s="785"/>
      <c r="BV59" s="785"/>
      <c r="BW59" s="785"/>
      <c r="BX59" s="785"/>
      <c r="BY59" s="785"/>
      <c r="BZ59" s="785"/>
      <c r="CA59" s="782"/>
      <c r="CB59" s="782"/>
      <c r="CC59" s="782"/>
      <c r="CD59" s="782"/>
      <c r="CE59" s="782"/>
      <c r="CF59" s="782"/>
      <c r="CG59" s="782"/>
      <c r="CH59" s="782"/>
      <c r="CI59" s="782"/>
      <c r="CJ59" s="782"/>
      <c r="CK59" s="782"/>
      <c r="CL59" s="782"/>
      <c r="CM59" s="782"/>
      <c r="CN59" s="782"/>
      <c r="CO59" s="782"/>
      <c r="CP59" s="782"/>
      <c r="CQ59" s="782"/>
      <c r="CR59" s="782"/>
      <c r="CS59" s="782"/>
      <c r="CT59" s="782"/>
      <c r="CU59" s="782"/>
      <c r="CV59" s="782"/>
      <c r="CW59" s="782"/>
      <c r="CX59" s="782"/>
      <c r="CY59" s="782"/>
      <c r="CZ59" s="782"/>
      <c r="DA59" s="782"/>
      <c r="DB59" s="782"/>
      <c r="DC59" s="782"/>
      <c r="DD59" s="782"/>
      <c r="DE59" s="782"/>
      <c r="DF59" s="782"/>
      <c r="DG59" s="782"/>
      <c r="DH59" s="782"/>
      <c r="DI59" s="782"/>
      <c r="DJ59" s="782"/>
      <c r="DK59" s="782"/>
      <c r="DL59" s="782"/>
      <c r="DM59" s="782"/>
      <c r="DN59" s="782"/>
      <c r="DO59" s="782"/>
      <c r="DP59" s="782"/>
      <c r="DQ59" s="782"/>
      <c r="DR59" s="782"/>
      <c r="DS59" s="782"/>
      <c r="DT59" s="782"/>
      <c r="DU59" s="782"/>
      <c r="DV59" s="782"/>
      <c r="DW59" s="782"/>
      <c r="DX59" s="782"/>
      <c r="DY59" s="782"/>
      <c r="DZ59" s="782"/>
      <c r="EA59" s="782"/>
      <c r="EB59" s="782"/>
      <c r="EC59" s="782"/>
      <c r="ED59" s="782"/>
      <c r="EE59" s="782"/>
      <c r="EF59" s="782"/>
      <c r="EG59" s="782"/>
      <c r="EH59" s="782"/>
      <c r="EI59" s="782"/>
      <c r="EJ59" s="782"/>
      <c r="EK59" s="782"/>
      <c r="EL59" s="782"/>
      <c r="EM59" s="782"/>
      <c r="EN59" s="782"/>
      <c r="EO59" s="782"/>
      <c r="EP59" s="782"/>
      <c r="EQ59" s="782"/>
      <c r="ER59" s="782"/>
      <c r="ES59" s="782"/>
      <c r="ET59" s="782"/>
      <c r="EU59" s="782"/>
      <c r="EV59" s="782"/>
      <c r="EW59" s="782"/>
      <c r="EX59" s="782"/>
      <c r="EY59" s="782"/>
      <c r="EZ59" s="782"/>
      <c r="FA59" s="782"/>
      <c r="FB59" s="782"/>
      <c r="FC59" s="782"/>
      <c r="FD59" s="782"/>
      <c r="FE59" s="782"/>
      <c r="FF59" s="782"/>
      <c r="FG59" s="782"/>
      <c r="FH59" s="782"/>
      <c r="FI59" s="782"/>
      <c r="FJ59" s="782"/>
      <c r="FK59" s="782"/>
      <c r="FL59" s="782"/>
      <c r="FM59" s="782"/>
      <c r="FN59" s="782"/>
      <c r="FO59" s="782"/>
      <c r="FP59" s="782"/>
      <c r="FQ59" s="782"/>
      <c r="FR59" s="782"/>
      <c r="FS59" s="782"/>
      <c r="FT59" s="782"/>
      <c r="FU59" s="782"/>
      <c r="FV59" s="782"/>
      <c r="FW59" s="782"/>
      <c r="FX59" s="782"/>
      <c r="FY59" s="782"/>
      <c r="FZ59" s="782"/>
      <c r="GA59" s="782"/>
      <c r="GB59" s="782"/>
      <c r="GC59" s="782"/>
      <c r="GD59" s="782"/>
      <c r="GE59" s="782"/>
      <c r="GF59" s="782"/>
      <c r="GG59" s="782"/>
      <c r="GH59" s="782"/>
      <c r="GI59" s="782"/>
      <c r="GJ59" s="782"/>
      <c r="GK59" s="782"/>
      <c r="GL59" s="782"/>
      <c r="GM59" s="782"/>
      <c r="GN59" s="782"/>
      <c r="GO59" s="782"/>
      <c r="GP59" s="782"/>
      <c r="GQ59" s="782"/>
      <c r="GR59" s="782"/>
      <c r="GS59" s="782"/>
      <c r="GT59" s="782"/>
      <c r="GU59" s="782"/>
      <c r="GV59" s="782"/>
      <c r="GW59" s="782"/>
      <c r="GX59" s="782"/>
      <c r="GY59" s="782"/>
      <c r="GZ59" s="782"/>
      <c r="HA59" s="782"/>
      <c r="HB59" s="782"/>
      <c r="HC59" s="782"/>
      <c r="HD59" s="782"/>
      <c r="HE59" s="782"/>
      <c r="HF59" s="782"/>
      <c r="HG59" s="782"/>
      <c r="HH59" s="782"/>
      <c r="HI59" s="782"/>
      <c r="HJ59" s="782"/>
      <c r="HK59" s="782"/>
      <c r="HL59" s="782"/>
      <c r="HM59" s="782"/>
      <c r="HN59" s="782"/>
      <c r="HO59" s="782"/>
      <c r="HP59" s="782"/>
      <c r="HQ59" s="782"/>
      <c r="HR59" s="782"/>
      <c r="HS59" s="782"/>
      <c r="HT59" s="782"/>
      <c r="HU59" s="782"/>
      <c r="HV59" s="782"/>
      <c r="HW59" s="782"/>
      <c r="HX59" s="782"/>
      <c r="HY59" s="782"/>
      <c r="HZ59" s="782"/>
      <c r="IA59" s="782"/>
      <c r="IB59" s="782"/>
      <c r="IC59" s="782"/>
      <c r="ID59" s="782"/>
      <c r="IE59" s="782"/>
      <c r="IF59" s="782"/>
      <c r="IG59" s="782"/>
      <c r="IH59" s="782"/>
      <c r="II59" s="782"/>
      <c r="IJ59" s="782"/>
      <c r="IK59" s="782"/>
      <c r="IL59" s="782"/>
      <c r="IM59" s="782"/>
      <c r="IN59" s="782"/>
      <c r="IO59" s="782"/>
      <c r="IP59" s="782"/>
      <c r="IQ59" s="782"/>
      <c r="IR59" s="782"/>
      <c r="IS59" s="782"/>
      <c r="IT59" s="782"/>
      <c r="IU59" s="782"/>
      <c r="IV59" s="782"/>
      <c r="IW59" s="782"/>
      <c r="IX59" s="782"/>
      <c r="IY59" s="782"/>
      <c r="IZ59" s="782"/>
      <c r="JA59" s="782"/>
      <c r="JB59" s="782"/>
      <c r="JC59" s="782"/>
      <c r="JD59" s="782"/>
      <c r="JE59" s="782"/>
      <c r="JF59" s="782"/>
      <c r="JG59" s="782"/>
      <c r="JH59" s="782"/>
      <c r="JI59" s="782"/>
      <c r="JJ59" s="782"/>
      <c r="JK59" s="782"/>
      <c r="JL59" s="782"/>
      <c r="JM59" s="782"/>
      <c r="JN59" s="782"/>
      <c r="JO59" s="782"/>
      <c r="JP59" s="782"/>
      <c r="JQ59" s="782"/>
      <c r="JR59" s="782"/>
      <c r="JS59" s="782"/>
      <c r="JT59" s="782"/>
      <c r="JU59" s="782"/>
      <c r="JV59" s="782"/>
      <c r="JW59" s="782"/>
      <c r="JX59" s="782"/>
      <c r="JY59" s="782"/>
      <c r="JZ59" s="782"/>
      <c r="KA59" s="782"/>
      <c r="KB59" s="782"/>
      <c r="KC59" s="782"/>
      <c r="KD59" s="782"/>
      <c r="KE59" s="782"/>
      <c r="KF59" s="782"/>
      <c r="KG59" s="782"/>
      <c r="KH59" s="782"/>
      <c r="KI59" s="782"/>
      <c r="KJ59" s="782"/>
      <c r="KK59" s="782"/>
      <c r="KL59" s="782"/>
      <c r="KM59" s="782"/>
      <c r="KN59" s="782"/>
      <c r="KO59" s="782"/>
      <c r="KP59" s="782"/>
      <c r="KQ59" s="782"/>
      <c r="KR59" s="782"/>
      <c r="KS59" s="782"/>
      <c r="KT59" s="782"/>
      <c r="KU59" s="782"/>
      <c r="KV59" s="782"/>
      <c r="KW59" s="782"/>
      <c r="KX59" s="782"/>
      <c r="KY59" s="782"/>
      <c r="KZ59" s="782"/>
      <c r="LA59" s="782"/>
      <c r="LB59" s="782"/>
      <c r="LC59" s="782"/>
      <c r="LD59" s="782"/>
      <c r="LE59" s="782"/>
      <c r="LF59" s="782"/>
      <c r="LG59" s="782"/>
      <c r="LH59" s="782"/>
      <c r="LI59" s="782"/>
      <c r="LJ59" s="782"/>
      <c r="LK59" s="782"/>
      <c r="LL59" s="782"/>
      <c r="LM59" s="782"/>
      <c r="LN59" s="782"/>
      <c r="LO59" s="782"/>
      <c r="LP59" s="782"/>
      <c r="LQ59" s="782"/>
      <c r="LR59" s="782"/>
      <c r="LS59" s="782"/>
      <c r="LT59" s="782"/>
      <c r="LU59" s="782"/>
      <c r="LV59" s="782"/>
      <c r="LW59" s="782"/>
      <c r="LX59" s="782"/>
      <c r="LY59" s="782"/>
      <c r="LZ59" s="782"/>
      <c r="MA59" s="782"/>
      <c r="MB59" s="782"/>
      <c r="MC59" s="782"/>
      <c r="MD59" s="782"/>
      <c r="ME59" s="782"/>
      <c r="MF59" s="782"/>
      <c r="MG59" s="782"/>
      <c r="MH59" s="782"/>
      <c r="MI59" s="782"/>
      <c r="MJ59" s="782"/>
      <c r="MK59" s="782"/>
      <c r="ML59" s="782"/>
      <c r="MM59" s="782"/>
      <c r="MN59" s="782"/>
      <c r="MO59" s="782"/>
      <c r="MP59" s="782"/>
      <c r="MQ59" s="782"/>
      <c r="MR59" s="782"/>
      <c r="MS59" s="782"/>
      <c r="MT59" s="782"/>
      <c r="MU59" s="782"/>
      <c r="MV59" s="782"/>
      <c r="MW59" s="782"/>
      <c r="MX59" s="782"/>
      <c r="MY59" s="782"/>
      <c r="MZ59" s="782"/>
      <c r="NA59" s="782"/>
      <c r="NB59" s="782"/>
      <c r="NC59" s="782"/>
      <c r="ND59" s="782"/>
      <c r="NE59" s="782"/>
      <c r="NF59" s="782"/>
      <c r="NG59" s="782"/>
      <c r="NH59" s="782"/>
      <c r="NI59" s="782"/>
      <c r="NJ59" s="782"/>
      <c r="NK59" s="782"/>
      <c r="NL59" s="782"/>
      <c r="NM59" s="782"/>
      <c r="NN59" s="782"/>
      <c r="NO59" s="782"/>
      <c r="NP59" s="782"/>
      <c r="NQ59" s="782"/>
      <c r="NR59" s="782"/>
      <c r="NS59" s="782"/>
      <c r="NT59" s="782"/>
      <c r="NU59" s="782"/>
      <c r="NV59" s="782"/>
      <c r="NW59" s="782"/>
      <c r="NX59" s="782"/>
      <c r="NY59" s="782"/>
      <c r="NZ59" s="782"/>
      <c r="OA59" s="782"/>
      <c r="OB59" s="782"/>
      <c r="OC59" s="782"/>
      <c r="OD59" s="782"/>
      <c r="OE59" s="782"/>
      <c r="OF59" s="782"/>
      <c r="OG59" s="782"/>
      <c r="OH59" s="782"/>
      <c r="OI59" s="782"/>
      <c r="OJ59" s="782"/>
      <c r="OK59" s="782"/>
      <c r="OL59" s="782"/>
      <c r="OM59" s="782"/>
      <c r="ON59" s="782"/>
      <c r="OO59" s="782"/>
      <c r="OP59" s="782"/>
      <c r="OQ59" s="782"/>
      <c r="OR59" s="782"/>
      <c r="OS59" s="782"/>
      <c r="OT59" s="782"/>
      <c r="OU59" s="782"/>
      <c r="OV59" s="782"/>
      <c r="OW59" s="782"/>
      <c r="OX59" s="782"/>
      <c r="OY59" s="782"/>
      <c r="OZ59" s="782"/>
      <c r="PA59" s="782"/>
      <c r="PB59" s="782"/>
      <c r="PC59" s="782"/>
      <c r="PD59" s="782"/>
      <c r="PE59" s="782"/>
      <c r="PF59" s="782"/>
      <c r="PG59" s="782"/>
      <c r="PH59" s="782"/>
      <c r="PI59" s="782"/>
      <c r="PJ59" s="782"/>
      <c r="PK59" s="782"/>
      <c r="PL59" s="782"/>
      <c r="PM59" s="782"/>
      <c r="PN59" s="782"/>
      <c r="PO59" s="782"/>
      <c r="PP59" s="782"/>
      <c r="PQ59" s="782"/>
      <c r="PR59" s="782"/>
      <c r="PS59" s="782"/>
      <c r="PT59" s="782"/>
      <c r="PU59" s="782"/>
      <c r="PV59" s="782"/>
      <c r="PW59" s="782"/>
      <c r="PX59" s="782"/>
      <c r="PY59" s="782"/>
      <c r="PZ59" s="782"/>
      <c r="QA59" s="782"/>
      <c r="QB59" s="782"/>
      <c r="QC59" s="782"/>
      <c r="QD59" s="782"/>
      <c r="QE59" s="782"/>
      <c r="QF59" s="782"/>
      <c r="QG59" s="782"/>
      <c r="QH59" s="782"/>
      <c r="QI59" s="782"/>
      <c r="QJ59" s="782"/>
      <c r="QK59" s="782"/>
      <c r="QL59" s="782"/>
      <c r="QM59" s="782"/>
      <c r="QN59" s="782"/>
      <c r="QO59" s="782"/>
      <c r="QP59" s="782"/>
      <c r="QQ59" s="782"/>
      <c r="QR59" s="782"/>
      <c r="QS59" s="782"/>
      <c r="QT59" s="782"/>
      <c r="QU59" s="782"/>
      <c r="QV59" s="782"/>
      <c r="QW59" s="782"/>
      <c r="QX59" s="782"/>
      <c r="QY59" s="782"/>
      <c r="QZ59" s="782"/>
      <c r="RA59" s="782"/>
      <c r="RB59" s="782"/>
      <c r="RC59" s="782"/>
      <c r="RD59" s="782"/>
      <c r="RE59" s="782"/>
      <c r="RF59" s="782"/>
      <c r="RG59" s="782"/>
      <c r="RH59" s="782"/>
      <c r="RI59" s="782"/>
      <c r="RJ59" s="782"/>
      <c r="RK59" s="782"/>
      <c r="RL59" s="782"/>
      <c r="RM59" s="782"/>
      <c r="RN59" s="782"/>
      <c r="RO59" s="782"/>
      <c r="RP59" s="782"/>
      <c r="RQ59" s="782"/>
      <c r="RR59" s="782"/>
      <c r="RS59" s="782"/>
      <c r="RT59" s="782"/>
      <c r="RU59" s="782"/>
      <c r="RV59" s="782"/>
      <c r="RW59" s="782"/>
      <c r="RX59" s="782"/>
    </row>
    <row r="60" spans="1:492" s="143" customFormat="1">
      <c r="A60" s="782"/>
      <c r="B60" s="782"/>
      <c r="C60" s="782"/>
      <c r="D60" s="782"/>
      <c r="E60" s="782"/>
      <c r="F60" s="782"/>
      <c r="G60" s="782"/>
      <c r="H60" s="782"/>
      <c r="I60" s="782"/>
      <c r="J60" s="782"/>
      <c r="K60" s="782"/>
      <c r="L60" s="782"/>
      <c r="M60" s="782"/>
      <c r="N60" s="782"/>
      <c r="O60" s="782"/>
      <c r="P60" s="782"/>
      <c r="Q60" s="782"/>
      <c r="R60" s="782"/>
      <c r="S60" s="782"/>
      <c r="T60" s="782"/>
      <c r="U60" s="782"/>
      <c r="V60" s="782"/>
      <c r="W60" s="782"/>
      <c r="X60" s="782"/>
      <c r="Y60" s="782"/>
      <c r="Z60" s="782"/>
      <c r="AA60" s="782"/>
      <c r="AB60" s="782"/>
      <c r="AC60" s="782"/>
      <c r="AD60" s="782"/>
      <c r="AE60" s="782"/>
      <c r="AF60" s="782"/>
      <c r="AG60" s="782"/>
      <c r="AH60" s="782"/>
      <c r="AI60" s="782"/>
      <c r="AJ60" s="782"/>
      <c r="AK60" s="782"/>
      <c r="AL60" s="782"/>
      <c r="AM60" s="785"/>
      <c r="AN60" s="785"/>
      <c r="AO60" s="785"/>
      <c r="AP60" s="785"/>
      <c r="AQ60" s="785"/>
      <c r="AR60" s="785"/>
      <c r="AS60" s="785"/>
      <c r="AT60" s="785"/>
      <c r="AU60" s="785"/>
      <c r="AV60" s="785"/>
      <c r="AW60" s="785"/>
      <c r="AX60" s="785"/>
      <c r="AY60" s="785"/>
      <c r="AZ60" s="785"/>
      <c r="BA60" s="785"/>
      <c r="BB60" s="785"/>
      <c r="BC60" s="785"/>
      <c r="BD60" s="785"/>
      <c r="BE60" s="785"/>
      <c r="BF60" s="785"/>
      <c r="BG60" s="785"/>
      <c r="BH60" s="785"/>
      <c r="BI60" s="785"/>
      <c r="BJ60" s="785"/>
      <c r="BK60" s="785"/>
      <c r="BL60" s="785"/>
      <c r="BM60" s="785"/>
      <c r="BN60" s="785"/>
      <c r="BO60" s="785"/>
      <c r="BP60" s="785"/>
      <c r="BQ60" s="785"/>
      <c r="BR60" s="785"/>
      <c r="BS60" s="785"/>
      <c r="BT60" s="785"/>
      <c r="BU60" s="785"/>
      <c r="BV60" s="785"/>
      <c r="BW60" s="785"/>
      <c r="BX60" s="785"/>
      <c r="BY60" s="785"/>
      <c r="BZ60" s="785"/>
      <c r="CA60" s="782"/>
      <c r="CB60" s="782"/>
      <c r="CC60" s="782"/>
      <c r="CD60" s="782"/>
      <c r="CE60" s="782"/>
      <c r="CF60" s="782"/>
      <c r="CG60" s="782"/>
      <c r="CH60" s="782"/>
      <c r="CI60" s="782"/>
      <c r="CJ60" s="782"/>
      <c r="CK60" s="782"/>
      <c r="CL60" s="782"/>
      <c r="CM60" s="782"/>
      <c r="CN60" s="782"/>
      <c r="CO60" s="782"/>
      <c r="CP60" s="782"/>
      <c r="CQ60" s="782"/>
      <c r="CR60" s="782"/>
      <c r="CS60" s="782"/>
      <c r="CT60" s="782"/>
      <c r="CU60" s="782"/>
      <c r="CV60" s="782"/>
      <c r="CW60" s="782"/>
      <c r="CX60" s="782"/>
      <c r="CY60" s="782"/>
      <c r="CZ60" s="782"/>
      <c r="DA60" s="782"/>
      <c r="DB60" s="782"/>
      <c r="DC60" s="782"/>
      <c r="DD60" s="782"/>
      <c r="DE60" s="782"/>
      <c r="DF60" s="782"/>
      <c r="DG60" s="782"/>
      <c r="DH60" s="782"/>
      <c r="DI60" s="782"/>
      <c r="DJ60" s="782"/>
      <c r="DK60" s="782"/>
      <c r="DL60" s="782"/>
      <c r="DM60" s="782"/>
      <c r="DN60" s="782"/>
      <c r="DO60" s="782"/>
      <c r="DP60" s="782"/>
      <c r="DQ60" s="782"/>
      <c r="DR60" s="782"/>
      <c r="DS60" s="782"/>
      <c r="DT60" s="782"/>
      <c r="DU60" s="782"/>
      <c r="DV60" s="782"/>
      <c r="DW60" s="782"/>
      <c r="DX60" s="782"/>
      <c r="DY60" s="782"/>
      <c r="DZ60" s="782"/>
      <c r="EA60" s="782"/>
      <c r="EB60" s="782"/>
      <c r="EC60" s="782"/>
      <c r="ED60" s="782"/>
      <c r="EE60" s="782"/>
      <c r="EF60" s="782"/>
      <c r="EG60" s="782"/>
      <c r="EH60" s="782"/>
      <c r="EI60" s="782"/>
      <c r="EJ60" s="782"/>
      <c r="EK60" s="782"/>
      <c r="EL60" s="782"/>
      <c r="EM60" s="782"/>
      <c r="EN60" s="782"/>
      <c r="EO60" s="782"/>
      <c r="EP60" s="782"/>
      <c r="EQ60" s="782"/>
      <c r="ER60" s="782"/>
      <c r="ES60" s="782"/>
      <c r="ET60" s="782"/>
      <c r="EU60" s="782"/>
      <c r="EV60" s="782"/>
      <c r="EW60" s="782"/>
      <c r="EX60" s="782"/>
      <c r="EY60" s="782"/>
      <c r="EZ60" s="782"/>
      <c r="FA60" s="782"/>
      <c r="FB60" s="782"/>
      <c r="FC60" s="782"/>
      <c r="FD60" s="782"/>
      <c r="FE60" s="782"/>
      <c r="FF60" s="782"/>
      <c r="FG60" s="782"/>
      <c r="FH60" s="782"/>
      <c r="FI60" s="782"/>
      <c r="FJ60" s="782"/>
      <c r="FK60" s="782"/>
      <c r="FL60" s="782"/>
      <c r="FM60" s="782"/>
      <c r="FN60" s="782"/>
      <c r="FO60" s="782"/>
      <c r="FP60" s="782"/>
      <c r="FQ60" s="782"/>
      <c r="FR60" s="782"/>
      <c r="FS60" s="782"/>
      <c r="FT60" s="782"/>
      <c r="FU60" s="782"/>
      <c r="FV60" s="782"/>
      <c r="FW60" s="782"/>
      <c r="FX60" s="782"/>
      <c r="FY60" s="782"/>
      <c r="FZ60" s="782"/>
      <c r="GA60" s="782"/>
      <c r="GB60" s="782"/>
      <c r="GC60" s="782"/>
      <c r="GD60" s="782"/>
      <c r="GE60" s="782"/>
      <c r="GF60" s="782"/>
      <c r="GG60" s="782"/>
      <c r="GH60" s="782"/>
      <c r="GI60" s="782"/>
      <c r="GJ60" s="782"/>
      <c r="GK60" s="782"/>
      <c r="GL60" s="782"/>
      <c r="GM60" s="782"/>
      <c r="GN60" s="782"/>
      <c r="GO60" s="782"/>
      <c r="GP60" s="782"/>
      <c r="GQ60" s="782"/>
      <c r="GR60" s="782"/>
      <c r="GS60" s="782"/>
      <c r="GT60" s="782"/>
      <c r="GU60" s="782"/>
      <c r="GV60" s="782"/>
      <c r="GW60" s="782"/>
      <c r="GX60" s="782"/>
      <c r="GY60" s="782"/>
      <c r="GZ60" s="782"/>
      <c r="HA60" s="782"/>
      <c r="HB60" s="782"/>
      <c r="HC60" s="782"/>
      <c r="HD60" s="782"/>
      <c r="HE60" s="782"/>
      <c r="HF60" s="782"/>
      <c r="HG60" s="782"/>
      <c r="HH60" s="782"/>
      <c r="HI60" s="782"/>
      <c r="HJ60" s="782"/>
      <c r="HK60" s="782"/>
      <c r="HL60" s="782"/>
      <c r="HM60" s="782"/>
      <c r="HN60" s="782"/>
      <c r="HO60" s="782"/>
      <c r="HP60" s="782"/>
      <c r="HQ60" s="782"/>
      <c r="HR60" s="782"/>
      <c r="HS60" s="782"/>
      <c r="HT60" s="782"/>
      <c r="HU60" s="782"/>
      <c r="HV60" s="782"/>
      <c r="HW60" s="782"/>
      <c r="HX60" s="782"/>
      <c r="HY60" s="782"/>
      <c r="HZ60" s="782"/>
      <c r="IA60" s="782"/>
      <c r="IB60" s="782"/>
      <c r="IC60" s="782"/>
      <c r="ID60" s="782"/>
      <c r="IE60" s="782"/>
      <c r="IF60" s="782"/>
      <c r="IG60" s="782"/>
      <c r="IH60" s="782"/>
      <c r="II60" s="782"/>
      <c r="IJ60" s="782"/>
      <c r="IK60" s="782"/>
      <c r="IL60" s="782"/>
      <c r="IM60" s="782"/>
      <c r="IN60" s="782"/>
      <c r="IO60" s="782"/>
      <c r="IP60" s="782"/>
      <c r="IQ60" s="782"/>
      <c r="IR60" s="782"/>
      <c r="IS60" s="782"/>
      <c r="IT60" s="782"/>
      <c r="IU60" s="782"/>
      <c r="IV60" s="782"/>
      <c r="IW60" s="782"/>
      <c r="IX60" s="782"/>
      <c r="IY60" s="782"/>
      <c r="IZ60" s="782"/>
      <c r="JA60" s="782"/>
      <c r="JB60" s="782"/>
      <c r="JC60" s="782"/>
      <c r="JD60" s="782"/>
      <c r="JE60" s="782"/>
      <c r="JF60" s="782"/>
      <c r="JG60" s="782"/>
      <c r="JH60" s="782"/>
      <c r="JI60" s="782"/>
      <c r="JJ60" s="782"/>
      <c r="JK60" s="782"/>
      <c r="JL60" s="782"/>
      <c r="JM60" s="782"/>
      <c r="JN60" s="782"/>
      <c r="JO60" s="782"/>
      <c r="JP60" s="782"/>
      <c r="JQ60" s="782"/>
      <c r="JR60" s="782"/>
      <c r="JS60" s="782"/>
      <c r="JT60" s="782"/>
      <c r="JU60" s="782"/>
      <c r="JV60" s="782"/>
      <c r="JW60" s="782"/>
      <c r="JX60" s="782"/>
      <c r="JY60" s="782"/>
      <c r="JZ60" s="782"/>
      <c r="KA60" s="782"/>
      <c r="KB60" s="782"/>
      <c r="KC60" s="782"/>
      <c r="KD60" s="782"/>
      <c r="KE60" s="782"/>
      <c r="KF60" s="782"/>
      <c r="KG60" s="782"/>
      <c r="KH60" s="782"/>
      <c r="KI60" s="782"/>
      <c r="KJ60" s="782"/>
      <c r="KK60" s="782"/>
      <c r="KL60" s="782"/>
      <c r="KM60" s="782"/>
      <c r="KN60" s="782"/>
      <c r="KO60" s="782"/>
      <c r="KP60" s="782"/>
      <c r="KQ60" s="782"/>
      <c r="KR60" s="782"/>
      <c r="KS60" s="782"/>
      <c r="KT60" s="782"/>
      <c r="KU60" s="782"/>
      <c r="KV60" s="782"/>
      <c r="KW60" s="782"/>
      <c r="KX60" s="782"/>
      <c r="KY60" s="782"/>
      <c r="KZ60" s="782"/>
      <c r="LA60" s="782"/>
      <c r="LB60" s="782"/>
      <c r="LC60" s="782"/>
      <c r="LD60" s="782"/>
      <c r="LE60" s="782"/>
      <c r="LF60" s="782"/>
      <c r="LG60" s="782"/>
      <c r="LH60" s="782"/>
      <c r="LI60" s="782"/>
      <c r="LJ60" s="782"/>
      <c r="LK60" s="782"/>
      <c r="LL60" s="782"/>
      <c r="LM60" s="782"/>
      <c r="LN60" s="782"/>
      <c r="LO60" s="782"/>
      <c r="LP60" s="782"/>
      <c r="LQ60" s="782"/>
      <c r="LR60" s="782"/>
      <c r="LS60" s="782"/>
      <c r="LT60" s="782"/>
      <c r="LU60" s="782"/>
      <c r="LV60" s="782"/>
      <c r="LW60" s="782"/>
      <c r="LX60" s="782"/>
      <c r="LY60" s="782"/>
      <c r="LZ60" s="782"/>
      <c r="MA60" s="782"/>
      <c r="MB60" s="782"/>
      <c r="MC60" s="782"/>
      <c r="MD60" s="782"/>
      <c r="ME60" s="782"/>
      <c r="MF60" s="782"/>
      <c r="MG60" s="782"/>
      <c r="MH60" s="782"/>
      <c r="MI60" s="782"/>
      <c r="MJ60" s="782"/>
      <c r="MK60" s="782"/>
      <c r="ML60" s="782"/>
      <c r="MM60" s="782"/>
      <c r="MN60" s="782"/>
      <c r="MO60" s="782"/>
      <c r="MP60" s="782"/>
      <c r="MQ60" s="782"/>
      <c r="MR60" s="782"/>
      <c r="MS60" s="782"/>
      <c r="MT60" s="782"/>
      <c r="MU60" s="782"/>
      <c r="MV60" s="782"/>
      <c r="MW60" s="782"/>
      <c r="MX60" s="782"/>
      <c r="MY60" s="782"/>
      <c r="MZ60" s="782"/>
      <c r="NA60" s="782"/>
      <c r="NB60" s="782"/>
      <c r="NC60" s="782"/>
      <c r="ND60" s="782"/>
      <c r="NE60" s="782"/>
      <c r="NF60" s="782"/>
      <c r="NG60" s="782"/>
      <c r="NH60" s="782"/>
      <c r="NI60" s="782"/>
      <c r="NJ60" s="782"/>
      <c r="NK60" s="782"/>
      <c r="NL60" s="782"/>
      <c r="NM60" s="782"/>
      <c r="NN60" s="782"/>
      <c r="NO60" s="782"/>
      <c r="NP60" s="782"/>
      <c r="NQ60" s="782"/>
      <c r="NR60" s="782"/>
      <c r="NS60" s="782"/>
      <c r="NT60" s="782"/>
      <c r="NU60" s="782"/>
      <c r="NV60" s="782"/>
      <c r="NW60" s="782"/>
      <c r="NX60" s="782"/>
      <c r="NY60" s="782"/>
      <c r="NZ60" s="782"/>
      <c r="OA60" s="782"/>
      <c r="OB60" s="782"/>
      <c r="OC60" s="782"/>
      <c r="OD60" s="782"/>
      <c r="OE60" s="782"/>
      <c r="OF60" s="782"/>
      <c r="OG60" s="782"/>
      <c r="OH60" s="782"/>
      <c r="OI60" s="782"/>
      <c r="OJ60" s="782"/>
      <c r="OK60" s="782"/>
      <c r="OL60" s="782"/>
      <c r="OM60" s="782"/>
      <c r="ON60" s="782"/>
      <c r="OO60" s="782"/>
      <c r="OP60" s="782"/>
      <c r="OQ60" s="782"/>
      <c r="OR60" s="782"/>
      <c r="OS60" s="782"/>
      <c r="OT60" s="782"/>
      <c r="OU60" s="782"/>
      <c r="OV60" s="782"/>
      <c r="OW60" s="782"/>
      <c r="OX60" s="782"/>
      <c r="OY60" s="782"/>
      <c r="OZ60" s="782"/>
      <c r="PA60" s="782"/>
      <c r="PB60" s="782"/>
      <c r="PC60" s="782"/>
      <c r="PD60" s="782"/>
      <c r="PE60" s="782"/>
      <c r="PF60" s="782"/>
      <c r="PG60" s="782"/>
      <c r="PH60" s="782"/>
      <c r="PI60" s="782"/>
      <c r="PJ60" s="782"/>
      <c r="PK60" s="782"/>
      <c r="PL60" s="782"/>
      <c r="PM60" s="782"/>
      <c r="PN60" s="782"/>
      <c r="PO60" s="782"/>
      <c r="PP60" s="782"/>
      <c r="PQ60" s="782"/>
      <c r="PR60" s="782"/>
      <c r="PS60" s="782"/>
      <c r="PT60" s="782"/>
      <c r="PU60" s="782"/>
      <c r="PV60" s="782"/>
      <c r="PW60" s="782"/>
      <c r="PX60" s="782"/>
      <c r="PY60" s="782"/>
      <c r="PZ60" s="782"/>
      <c r="QA60" s="782"/>
      <c r="QB60" s="782"/>
      <c r="QC60" s="782"/>
      <c r="QD60" s="782"/>
      <c r="QE60" s="782"/>
      <c r="QF60" s="782"/>
      <c r="QG60" s="782"/>
      <c r="QH60" s="782"/>
      <c r="QI60" s="782"/>
      <c r="QJ60" s="782"/>
      <c r="QK60" s="782"/>
      <c r="QL60" s="782"/>
      <c r="QM60" s="782"/>
      <c r="QN60" s="782"/>
      <c r="QO60" s="782"/>
      <c r="QP60" s="782"/>
      <c r="QQ60" s="782"/>
      <c r="QR60" s="782"/>
      <c r="QS60" s="782"/>
      <c r="QT60" s="782"/>
      <c r="QU60" s="782"/>
      <c r="QV60" s="782"/>
      <c r="QW60" s="782"/>
      <c r="QX60" s="782"/>
      <c r="QY60" s="782"/>
      <c r="QZ60" s="782"/>
      <c r="RA60" s="782"/>
      <c r="RB60" s="782"/>
      <c r="RC60" s="782"/>
      <c r="RD60" s="782"/>
      <c r="RE60" s="782"/>
      <c r="RF60" s="782"/>
      <c r="RG60" s="782"/>
      <c r="RH60" s="782"/>
      <c r="RI60" s="782"/>
      <c r="RJ60" s="782"/>
      <c r="RK60" s="782"/>
      <c r="RL60" s="782"/>
      <c r="RM60" s="782"/>
      <c r="RN60" s="782"/>
      <c r="RO60" s="782"/>
      <c r="RP60" s="782"/>
      <c r="RQ60" s="782"/>
      <c r="RR60" s="782"/>
      <c r="RS60" s="782"/>
      <c r="RT60" s="782"/>
      <c r="RU60" s="782"/>
      <c r="RV60" s="782"/>
      <c r="RW60" s="782"/>
      <c r="RX60" s="782"/>
    </row>
    <row r="61" spans="1:492" s="143" customFormat="1">
      <c r="A61" s="782"/>
      <c r="B61" s="782"/>
      <c r="C61" s="782"/>
      <c r="D61" s="782"/>
      <c r="E61" s="782"/>
      <c r="F61" s="782"/>
      <c r="G61" s="782"/>
      <c r="H61" s="782"/>
      <c r="I61" s="782"/>
      <c r="J61" s="782"/>
      <c r="K61" s="782"/>
      <c r="L61" s="782"/>
      <c r="M61" s="782"/>
      <c r="N61" s="782"/>
      <c r="O61" s="782"/>
      <c r="P61" s="782"/>
      <c r="Q61" s="782"/>
      <c r="R61" s="782"/>
      <c r="S61" s="782"/>
      <c r="T61" s="782"/>
      <c r="U61" s="782"/>
      <c r="V61" s="782"/>
      <c r="W61" s="782"/>
      <c r="X61" s="782"/>
      <c r="Y61" s="782"/>
      <c r="Z61" s="782"/>
      <c r="AA61" s="782"/>
      <c r="AB61" s="782"/>
      <c r="AC61" s="782"/>
      <c r="AD61" s="782"/>
      <c r="AE61" s="782"/>
      <c r="AF61" s="782"/>
      <c r="AG61" s="782"/>
      <c r="AH61" s="782"/>
      <c r="AI61" s="782"/>
      <c r="AJ61" s="782"/>
      <c r="AK61" s="782"/>
      <c r="AL61" s="782"/>
      <c r="AM61" s="785"/>
      <c r="AN61" s="785"/>
      <c r="AO61" s="785"/>
      <c r="AP61" s="785"/>
      <c r="AQ61" s="785"/>
      <c r="AR61" s="785"/>
      <c r="AS61" s="785"/>
      <c r="AT61" s="785"/>
      <c r="AU61" s="785"/>
      <c r="AV61" s="785"/>
      <c r="AW61" s="785"/>
      <c r="AX61" s="785"/>
      <c r="AY61" s="785"/>
      <c r="AZ61" s="785"/>
      <c r="BA61" s="785"/>
      <c r="BB61" s="785"/>
      <c r="BC61" s="785"/>
      <c r="BD61" s="785"/>
      <c r="BE61" s="785"/>
      <c r="BF61" s="785"/>
      <c r="BG61" s="785"/>
      <c r="BH61" s="785"/>
      <c r="BI61" s="785"/>
      <c r="BJ61" s="785"/>
      <c r="BK61" s="785"/>
      <c r="BL61" s="785"/>
      <c r="BM61" s="785"/>
      <c r="BN61" s="785"/>
      <c r="BO61" s="785"/>
      <c r="BP61" s="785"/>
      <c r="BQ61" s="785"/>
      <c r="BR61" s="785"/>
      <c r="BS61" s="785"/>
      <c r="BT61" s="785"/>
      <c r="BU61" s="785"/>
      <c r="BV61" s="785"/>
      <c r="BW61" s="785"/>
      <c r="BX61" s="785"/>
      <c r="BY61" s="785"/>
      <c r="BZ61" s="785"/>
      <c r="CA61" s="782"/>
      <c r="CB61" s="782"/>
      <c r="CC61" s="782"/>
      <c r="CD61" s="782"/>
      <c r="CE61" s="782"/>
      <c r="CF61" s="782"/>
      <c r="CG61" s="782"/>
      <c r="CH61" s="782"/>
      <c r="CI61" s="782"/>
      <c r="CJ61" s="782"/>
      <c r="CK61" s="782"/>
      <c r="CL61" s="782"/>
      <c r="CM61" s="782"/>
      <c r="CN61" s="782"/>
      <c r="CO61" s="782"/>
      <c r="CP61" s="782"/>
      <c r="CQ61" s="782"/>
      <c r="CR61" s="782"/>
      <c r="CS61" s="782"/>
      <c r="CT61" s="782"/>
      <c r="CU61" s="782"/>
      <c r="CV61" s="782"/>
      <c r="CW61" s="782"/>
      <c r="CX61" s="782"/>
      <c r="CY61" s="782"/>
      <c r="CZ61" s="782"/>
      <c r="DA61" s="782"/>
      <c r="DB61" s="782"/>
      <c r="DC61" s="782"/>
      <c r="DD61" s="782"/>
      <c r="DE61" s="782"/>
      <c r="DF61" s="782"/>
      <c r="DG61" s="782"/>
      <c r="DH61" s="782"/>
      <c r="DI61" s="782"/>
      <c r="DJ61" s="782"/>
      <c r="DK61" s="782"/>
      <c r="DL61" s="782"/>
      <c r="DM61" s="782"/>
      <c r="DN61" s="782"/>
      <c r="DO61" s="782"/>
      <c r="DP61" s="782"/>
      <c r="DQ61" s="782"/>
      <c r="DR61" s="782"/>
      <c r="DS61" s="782"/>
      <c r="DT61" s="782"/>
      <c r="DU61" s="782"/>
      <c r="DV61" s="782"/>
      <c r="DW61" s="782"/>
      <c r="DX61" s="782"/>
      <c r="DY61" s="782"/>
      <c r="DZ61" s="782"/>
      <c r="EA61" s="782"/>
      <c r="EB61" s="782"/>
      <c r="EC61" s="782"/>
      <c r="ED61" s="782"/>
      <c r="EE61" s="782"/>
      <c r="EF61" s="782"/>
      <c r="EG61" s="782"/>
      <c r="EH61" s="782"/>
      <c r="EI61" s="782"/>
      <c r="EJ61" s="782"/>
      <c r="EK61" s="782"/>
      <c r="EL61" s="782"/>
      <c r="EM61" s="782"/>
      <c r="EN61" s="782"/>
      <c r="EO61" s="782"/>
      <c r="EP61" s="782"/>
      <c r="EQ61" s="782"/>
      <c r="ER61" s="782"/>
      <c r="ES61" s="782"/>
      <c r="ET61" s="782"/>
      <c r="EU61" s="782"/>
      <c r="EV61" s="782"/>
      <c r="EW61" s="782"/>
      <c r="EX61" s="782"/>
      <c r="EY61" s="782"/>
      <c r="EZ61" s="782"/>
      <c r="FA61" s="782"/>
      <c r="FB61" s="782"/>
      <c r="FC61" s="782"/>
      <c r="FD61" s="782"/>
      <c r="FE61" s="782"/>
      <c r="FF61" s="782"/>
      <c r="FG61" s="782"/>
      <c r="FH61" s="782"/>
      <c r="FI61" s="782"/>
      <c r="FJ61" s="782"/>
      <c r="FK61" s="782"/>
      <c r="FL61" s="782"/>
      <c r="FM61" s="782"/>
      <c r="FN61" s="782"/>
      <c r="FO61" s="782"/>
      <c r="FP61" s="782"/>
      <c r="FQ61" s="782"/>
      <c r="FR61" s="782"/>
      <c r="FS61" s="782"/>
      <c r="FT61" s="782"/>
      <c r="FU61" s="782"/>
      <c r="FV61" s="782"/>
      <c r="FW61" s="782"/>
      <c r="FX61" s="782"/>
      <c r="FY61" s="782"/>
      <c r="FZ61" s="782"/>
      <c r="GA61" s="782"/>
      <c r="GB61" s="782"/>
      <c r="GC61" s="782"/>
      <c r="GD61" s="782"/>
      <c r="GE61" s="782"/>
      <c r="GF61" s="782"/>
      <c r="GG61" s="782"/>
      <c r="GH61" s="782"/>
      <c r="GI61" s="782"/>
      <c r="GJ61" s="782"/>
      <c r="GK61" s="782"/>
      <c r="GL61" s="782"/>
      <c r="GM61" s="782"/>
      <c r="GN61" s="782"/>
      <c r="GO61" s="782"/>
      <c r="GP61" s="782"/>
      <c r="GQ61" s="782"/>
      <c r="GR61" s="782"/>
      <c r="GS61" s="782"/>
      <c r="GT61" s="782"/>
      <c r="GU61" s="782"/>
      <c r="GV61" s="782"/>
      <c r="GW61" s="782"/>
      <c r="GX61" s="782"/>
      <c r="GY61" s="782"/>
      <c r="GZ61" s="782"/>
      <c r="HA61" s="782"/>
      <c r="HB61" s="782"/>
      <c r="HC61" s="782"/>
      <c r="HD61" s="782"/>
      <c r="HE61" s="782"/>
      <c r="HF61" s="782"/>
      <c r="HG61" s="782"/>
      <c r="HH61" s="782"/>
      <c r="HI61" s="782"/>
      <c r="HJ61" s="782"/>
      <c r="HK61" s="782"/>
      <c r="HL61" s="782"/>
      <c r="HM61" s="782"/>
      <c r="HN61" s="782"/>
      <c r="HO61" s="782"/>
      <c r="HP61" s="782"/>
      <c r="HQ61" s="782"/>
      <c r="HR61" s="782"/>
      <c r="HS61" s="782"/>
      <c r="HT61" s="782"/>
      <c r="HU61" s="782"/>
      <c r="HV61" s="782"/>
      <c r="HW61" s="782"/>
      <c r="HX61" s="782"/>
      <c r="HY61" s="782"/>
      <c r="HZ61" s="782"/>
      <c r="IA61" s="782"/>
      <c r="IB61" s="782"/>
      <c r="IC61" s="782"/>
      <c r="ID61" s="782"/>
      <c r="IE61" s="782"/>
      <c r="IF61" s="782"/>
      <c r="IG61" s="782"/>
      <c r="IH61" s="782"/>
      <c r="II61" s="782"/>
      <c r="IJ61" s="782"/>
      <c r="IK61" s="782"/>
      <c r="IL61" s="782"/>
      <c r="IM61" s="782"/>
      <c r="IN61" s="782"/>
      <c r="IO61" s="782"/>
      <c r="IP61" s="782"/>
      <c r="IQ61" s="782"/>
      <c r="IR61" s="782"/>
      <c r="IS61" s="782"/>
      <c r="IT61" s="782"/>
      <c r="IU61" s="782"/>
      <c r="IV61" s="782"/>
      <c r="IW61" s="782"/>
      <c r="IX61" s="782"/>
      <c r="IY61" s="782"/>
      <c r="IZ61" s="782"/>
      <c r="JA61" s="782"/>
      <c r="JB61" s="782"/>
      <c r="JC61" s="782"/>
      <c r="JD61" s="782"/>
      <c r="JE61" s="782"/>
      <c r="JF61" s="782"/>
      <c r="JG61" s="782"/>
      <c r="JH61" s="782"/>
      <c r="JI61" s="782"/>
      <c r="JJ61" s="782"/>
      <c r="JK61" s="782"/>
      <c r="JL61" s="782"/>
      <c r="JM61" s="782"/>
      <c r="JN61" s="782"/>
      <c r="JO61" s="782"/>
      <c r="JP61" s="782"/>
      <c r="JQ61" s="782"/>
      <c r="JR61" s="782"/>
      <c r="JS61" s="782"/>
      <c r="JT61" s="782"/>
      <c r="JU61" s="782"/>
      <c r="JV61" s="782"/>
      <c r="JW61" s="782"/>
      <c r="JX61" s="782"/>
      <c r="JY61" s="782"/>
      <c r="JZ61" s="782"/>
      <c r="KA61" s="782"/>
      <c r="KB61" s="782"/>
      <c r="KC61" s="782"/>
      <c r="KD61" s="782"/>
      <c r="KE61" s="782"/>
      <c r="KF61" s="782"/>
      <c r="KG61" s="782"/>
      <c r="KH61" s="782"/>
      <c r="KI61" s="782"/>
      <c r="KJ61" s="782"/>
      <c r="KK61" s="782"/>
      <c r="KL61" s="782"/>
      <c r="KM61" s="782"/>
      <c r="KN61" s="782"/>
      <c r="KO61" s="782"/>
      <c r="KP61" s="782"/>
      <c r="KQ61" s="782"/>
      <c r="KR61" s="782"/>
      <c r="KS61" s="782"/>
      <c r="KT61" s="782"/>
      <c r="KU61" s="782"/>
      <c r="KV61" s="782"/>
      <c r="KW61" s="782"/>
      <c r="KX61" s="782"/>
      <c r="KY61" s="782"/>
      <c r="KZ61" s="782"/>
      <c r="LA61" s="782"/>
      <c r="LB61" s="782"/>
      <c r="LC61" s="782"/>
      <c r="LD61" s="782"/>
      <c r="LE61" s="782"/>
      <c r="LF61" s="782"/>
      <c r="LG61" s="782"/>
      <c r="LH61" s="782"/>
      <c r="LI61" s="782"/>
      <c r="LJ61" s="782"/>
      <c r="LK61" s="782"/>
      <c r="LL61" s="782"/>
      <c r="LM61" s="782"/>
      <c r="LN61" s="782"/>
      <c r="LO61" s="782"/>
      <c r="LP61" s="782"/>
      <c r="LQ61" s="782"/>
      <c r="LR61" s="782"/>
      <c r="LS61" s="782"/>
      <c r="LT61" s="782"/>
      <c r="LU61" s="782"/>
      <c r="LV61" s="782"/>
      <c r="LW61" s="782"/>
      <c r="LX61" s="782"/>
      <c r="LY61" s="782"/>
      <c r="LZ61" s="782"/>
      <c r="MA61" s="782"/>
      <c r="MB61" s="782"/>
      <c r="MC61" s="782"/>
      <c r="MD61" s="782"/>
      <c r="ME61" s="782"/>
      <c r="MF61" s="782"/>
      <c r="MG61" s="782"/>
      <c r="MH61" s="782"/>
      <c r="MI61" s="782"/>
      <c r="MJ61" s="782"/>
      <c r="MK61" s="782"/>
      <c r="ML61" s="782"/>
      <c r="MM61" s="782"/>
      <c r="MN61" s="782"/>
      <c r="MO61" s="782"/>
      <c r="MP61" s="782"/>
      <c r="MQ61" s="782"/>
      <c r="MR61" s="782"/>
      <c r="MS61" s="782"/>
      <c r="MT61" s="782"/>
      <c r="MU61" s="782"/>
      <c r="MV61" s="782"/>
      <c r="MW61" s="782"/>
      <c r="MX61" s="782"/>
      <c r="MY61" s="782"/>
      <c r="MZ61" s="782"/>
      <c r="NA61" s="782"/>
      <c r="NB61" s="782"/>
      <c r="NC61" s="782"/>
      <c r="ND61" s="782"/>
      <c r="NE61" s="782"/>
      <c r="NF61" s="782"/>
      <c r="NG61" s="782"/>
      <c r="NH61" s="782"/>
      <c r="NI61" s="782"/>
      <c r="NJ61" s="782"/>
      <c r="NK61" s="782"/>
      <c r="NL61" s="782"/>
      <c r="NM61" s="782"/>
      <c r="NN61" s="782"/>
      <c r="NO61" s="782"/>
      <c r="NP61" s="782"/>
      <c r="NQ61" s="782"/>
      <c r="NR61" s="782"/>
      <c r="NS61" s="782"/>
      <c r="NT61" s="782"/>
      <c r="NU61" s="782"/>
      <c r="NV61" s="782"/>
      <c r="NW61" s="782"/>
      <c r="NX61" s="782"/>
      <c r="NY61" s="782"/>
      <c r="NZ61" s="782"/>
      <c r="OA61" s="782"/>
      <c r="OB61" s="782"/>
      <c r="OC61" s="782"/>
      <c r="OD61" s="782"/>
      <c r="OE61" s="782"/>
      <c r="OF61" s="782"/>
      <c r="OG61" s="782"/>
      <c r="OH61" s="782"/>
      <c r="OI61" s="782"/>
      <c r="OJ61" s="782"/>
      <c r="OK61" s="782"/>
      <c r="OL61" s="782"/>
      <c r="OM61" s="782"/>
      <c r="ON61" s="782"/>
      <c r="OO61" s="782"/>
      <c r="OP61" s="782"/>
      <c r="OQ61" s="782"/>
      <c r="OR61" s="782"/>
      <c r="OS61" s="782"/>
      <c r="OT61" s="782"/>
      <c r="OU61" s="782"/>
      <c r="OV61" s="782"/>
      <c r="OW61" s="782"/>
      <c r="OX61" s="782"/>
      <c r="OY61" s="782"/>
      <c r="OZ61" s="782"/>
      <c r="PA61" s="782"/>
      <c r="PB61" s="782"/>
      <c r="PC61" s="782"/>
      <c r="PD61" s="782"/>
      <c r="PE61" s="782"/>
      <c r="PF61" s="782"/>
      <c r="PG61" s="782"/>
      <c r="PH61" s="782"/>
      <c r="PI61" s="782"/>
      <c r="PJ61" s="782"/>
      <c r="PK61" s="782"/>
      <c r="PL61" s="782"/>
      <c r="PM61" s="782"/>
      <c r="PN61" s="782"/>
      <c r="PO61" s="782"/>
      <c r="PP61" s="782"/>
      <c r="PQ61" s="782"/>
      <c r="PR61" s="782"/>
      <c r="PS61" s="782"/>
      <c r="PT61" s="782"/>
      <c r="PU61" s="782"/>
      <c r="PV61" s="782"/>
      <c r="PW61" s="782"/>
      <c r="PX61" s="782"/>
      <c r="PY61" s="782"/>
      <c r="PZ61" s="782"/>
      <c r="QA61" s="782"/>
      <c r="QB61" s="782"/>
      <c r="QC61" s="782"/>
      <c r="QD61" s="782"/>
      <c r="QE61" s="782"/>
      <c r="QF61" s="782"/>
      <c r="QG61" s="782"/>
      <c r="QH61" s="782"/>
      <c r="QI61" s="782"/>
      <c r="QJ61" s="782"/>
      <c r="QK61" s="782"/>
      <c r="QL61" s="782"/>
      <c r="QM61" s="782"/>
      <c r="QN61" s="782"/>
      <c r="QO61" s="782"/>
      <c r="QP61" s="782"/>
      <c r="QQ61" s="782"/>
      <c r="QR61" s="782"/>
      <c r="QS61" s="782"/>
      <c r="QT61" s="782"/>
      <c r="QU61" s="782"/>
      <c r="QV61" s="782"/>
      <c r="QW61" s="782"/>
      <c r="QX61" s="782"/>
      <c r="QY61" s="782"/>
      <c r="QZ61" s="782"/>
      <c r="RA61" s="782"/>
      <c r="RB61" s="782"/>
      <c r="RC61" s="782"/>
      <c r="RD61" s="782"/>
      <c r="RE61" s="782"/>
      <c r="RF61" s="782"/>
      <c r="RG61" s="782"/>
      <c r="RH61" s="782"/>
      <c r="RI61" s="782"/>
      <c r="RJ61" s="782"/>
      <c r="RK61" s="782"/>
      <c r="RL61" s="782"/>
      <c r="RM61" s="782"/>
      <c r="RN61" s="782"/>
      <c r="RO61" s="782"/>
      <c r="RP61" s="782"/>
      <c r="RQ61" s="782"/>
      <c r="RR61" s="782"/>
      <c r="RS61" s="782"/>
      <c r="RT61" s="782"/>
      <c r="RU61" s="782"/>
      <c r="RV61" s="782"/>
      <c r="RW61" s="782"/>
      <c r="RX61" s="782"/>
    </row>
    <row r="62" spans="1:492" s="143" customFormat="1">
      <c r="A62" s="782"/>
      <c r="B62" s="782"/>
      <c r="C62" s="782"/>
      <c r="D62" s="782"/>
      <c r="E62" s="782"/>
      <c r="F62" s="782"/>
      <c r="G62" s="782"/>
      <c r="H62" s="782"/>
      <c r="I62" s="782"/>
      <c r="J62" s="782"/>
      <c r="K62" s="782"/>
      <c r="L62" s="782"/>
      <c r="M62" s="782"/>
      <c r="N62" s="782"/>
      <c r="O62" s="782"/>
      <c r="P62" s="782"/>
      <c r="Q62" s="782"/>
      <c r="R62" s="782"/>
      <c r="S62" s="782"/>
      <c r="T62" s="782"/>
      <c r="U62" s="782"/>
      <c r="V62" s="782"/>
      <c r="W62" s="782"/>
      <c r="X62" s="782"/>
      <c r="Y62" s="782"/>
      <c r="Z62" s="782"/>
      <c r="AA62" s="782"/>
      <c r="AB62" s="782"/>
      <c r="AC62" s="782"/>
      <c r="AD62" s="782"/>
      <c r="AE62" s="782"/>
      <c r="AF62" s="782"/>
      <c r="AG62" s="782"/>
      <c r="AH62" s="782"/>
      <c r="AI62" s="782"/>
      <c r="AJ62" s="782"/>
      <c r="AK62" s="782"/>
      <c r="AL62" s="782"/>
      <c r="AM62" s="785"/>
      <c r="AN62" s="785"/>
      <c r="AO62" s="785"/>
      <c r="AP62" s="785"/>
      <c r="AQ62" s="785"/>
      <c r="AR62" s="785"/>
      <c r="AS62" s="785"/>
      <c r="AT62" s="785"/>
      <c r="AU62" s="785"/>
      <c r="AV62" s="785"/>
      <c r="AW62" s="785"/>
      <c r="AX62" s="785"/>
      <c r="AY62" s="785"/>
      <c r="AZ62" s="785"/>
      <c r="BA62" s="785"/>
      <c r="BB62" s="785"/>
      <c r="BC62" s="785"/>
      <c r="BD62" s="785"/>
      <c r="BE62" s="785"/>
      <c r="BF62" s="785"/>
      <c r="BG62" s="785"/>
      <c r="BH62" s="785"/>
      <c r="BI62" s="785"/>
      <c r="BJ62" s="785"/>
      <c r="BK62" s="785"/>
      <c r="BL62" s="785"/>
      <c r="BM62" s="785"/>
      <c r="BN62" s="785"/>
      <c r="BO62" s="785"/>
      <c r="BP62" s="785"/>
      <c r="BQ62" s="785"/>
      <c r="BR62" s="785"/>
      <c r="BS62" s="785"/>
      <c r="BT62" s="785"/>
      <c r="BU62" s="785"/>
      <c r="BV62" s="785"/>
      <c r="BW62" s="785"/>
      <c r="BX62" s="785"/>
      <c r="BY62" s="785"/>
      <c r="BZ62" s="785"/>
      <c r="CA62" s="782"/>
      <c r="CB62" s="782"/>
      <c r="CC62" s="782"/>
      <c r="CD62" s="782"/>
      <c r="CE62" s="782"/>
      <c r="CF62" s="782"/>
      <c r="CG62" s="782"/>
      <c r="CH62" s="782"/>
      <c r="CI62" s="782"/>
      <c r="CJ62" s="782"/>
      <c r="CK62" s="782"/>
      <c r="CL62" s="782"/>
      <c r="CM62" s="782"/>
      <c r="CN62" s="782"/>
      <c r="CO62" s="782"/>
      <c r="CP62" s="782"/>
      <c r="CQ62" s="782"/>
      <c r="CR62" s="782"/>
      <c r="CS62" s="782"/>
      <c r="CT62" s="782"/>
      <c r="CU62" s="782"/>
      <c r="CV62" s="782"/>
      <c r="CW62" s="782"/>
      <c r="CX62" s="782"/>
      <c r="CY62" s="782"/>
      <c r="CZ62" s="782"/>
      <c r="DA62" s="782"/>
      <c r="DB62" s="782"/>
      <c r="DC62" s="782"/>
      <c r="DD62" s="782"/>
      <c r="DE62" s="782"/>
      <c r="DF62" s="782"/>
      <c r="DG62" s="782"/>
      <c r="DH62" s="782"/>
      <c r="DI62" s="782"/>
      <c r="DJ62" s="782"/>
      <c r="DK62" s="782"/>
      <c r="DL62" s="782"/>
      <c r="DM62" s="782"/>
      <c r="DN62" s="782"/>
      <c r="DO62" s="782"/>
      <c r="DP62" s="782"/>
      <c r="DQ62" s="782"/>
      <c r="DR62" s="782"/>
      <c r="DS62" s="782"/>
      <c r="DT62" s="782"/>
      <c r="DU62" s="782"/>
      <c r="DV62" s="782"/>
      <c r="DW62" s="782"/>
      <c r="DX62" s="782"/>
      <c r="DY62" s="782"/>
      <c r="DZ62" s="782"/>
      <c r="EA62" s="782"/>
      <c r="EB62" s="782"/>
      <c r="EC62" s="782"/>
      <c r="ED62" s="782"/>
      <c r="EE62" s="782"/>
      <c r="EF62" s="782"/>
      <c r="EG62" s="782"/>
      <c r="EH62" s="782"/>
      <c r="EI62" s="782"/>
      <c r="EJ62" s="782"/>
      <c r="EK62" s="782"/>
      <c r="EL62" s="782"/>
      <c r="EM62" s="782"/>
      <c r="EN62" s="782"/>
      <c r="EO62" s="782"/>
      <c r="EP62" s="782"/>
      <c r="EQ62" s="782"/>
      <c r="ER62" s="782"/>
      <c r="ES62" s="782"/>
      <c r="ET62" s="782"/>
      <c r="EU62" s="782"/>
      <c r="EV62" s="782"/>
      <c r="EW62" s="782"/>
      <c r="EX62" s="782"/>
      <c r="EY62" s="782"/>
      <c r="EZ62" s="782"/>
      <c r="FA62" s="782"/>
      <c r="FB62" s="782"/>
      <c r="FC62" s="782"/>
      <c r="FD62" s="782"/>
      <c r="FE62" s="782"/>
      <c r="FF62" s="782"/>
      <c r="FG62" s="782"/>
      <c r="FH62" s="782"/>
      <c r="FI62" s="782"/>
      <c r="FJ62" s="782"/>
      <c r="FK62" s="782"/>
      <c r="FL62" s="782"/>
      <c r="FM62" s="782"/>
      <c r="FN62" s="782"/>
      <c r="FO62" s="782"/>
      <c r="FP62" s="782"/>
      <c r="FQ62" s="782"/>
      <c r="FR62" s="782"/>
      <c r="FS62" s="782"/>
      <c r="FT62" s="782"/>
      <c r="FU62" s="782"/>
      <c r="FV62" s="782"/>
      <c r="FW62" s="782"/>
      <c r="FX62" s="782"/>
      <c r="FY62" s="782"/>
      <c r="FZ62" s="782"/>
      <c r="GA62" s="782"/>
      <c r="GB62" s="782"/>
      <c r="GC62" s="782"/>
      <c r="GD62" s="782"/>
      <c r="GE62" s="782"/>
      <c r="GF62" s="782"/>
      <c r="GG62" s="782"/>
      <c r="GH62" s="782"/>
      <c r="GI62" s="782"/>
      <c r="GJ62" s="782"/>
      <c r="GK62" s="782"/>
      <c r="GL62" s="782"/>
      <c r="GM62" s="782"/>
      <c r="GN62" s="782"/>
      <c r="GO62" s="782"/>
      <c r="GP62" s="782"/>
      <c r="GQ62" s="782"/>
      <c r="GR62" s="782"/>
      <c r="GS62" s="782"/>
      <c r="GT62" s="782"/>
      <c r="GU62" s="782"/>
      <c r="GV62" s="782"/>
      <c r="GW62" s="782"/>
      <c r="GX62" s="782"/>
      <c r="GY62" s="782"/>
      <c r="GZ62" s="782"/>
      <c r="HA62" s="782"/>
      <c r="HB62" s="782"/>
      <c r="HC62" s="782"/>
      <c r="HD62" s="782"/>
      <c r="HE62" s="782"/>
      <c r="HF62" s="782"/>
      <c r="HG62" s="782"/>
      <c r="HH62" s="782"/>
      <c r="HI62" s="782"/>
      <c r="HJ62" s="782"/>
      <c r="HK62" s="782"/>
      <c r="HL62" s="782"/>
      <c r="HM62" s="782"/>
      <c r="HN62" s="782"/>
      <c r="HO62" s="782"/>
      <c r="HP62" s="782"/>
      <c r="HQ62" s="782"/>
      <c r="HR62" s="782"/>
      <c r="HS62" s="782"/>
      <c r="HT62" s="782"/>
      <c r="HU62" s="782"/>
      <c r="HV62" s="782"/>
      <c r="HW62" s="782"/>
      <c r="HX62" s="782"/>
      <c r="HY62" s="782"/>
      <c r="HZ62" s="782"/>
      <c r="IA62" s="782"/>
      <c r="IB62" s="782"/>
      <c r="IC62" s="782"/>
      <c r="ID62" s="782"/>
      <c r="IE62" s="782"/>
      <c r="IF62" s="782"/>
      <c r="IG62" s="782"/>
      <c r="IH62" s="782"/>
      <c r="II62" s="782"/>
      <c r="IJ62" s="782"/>
      <c r="IK62" s="782"/>
      <c r="IL62" s="782"/>
      <c r="IM62" s="782"/>
      <c r="IN62" s="782"/>
      <c r="IO62" s="782"/>
      <c r="IP62" s="782"/>
      <c r="IQ62" s="782"/>
      <c r="IR62" s="782"/>
      <c r="IS62" s="782"/>
      <c r="IT62" s="782"/>
      <c r="IU62" s="782"/>
      <c r="IV62" s="782"/>
      <c r="IW62" s="782"/>
      <c r="IX62" s="782"/>
      <c r="IY62" s="782"/>
      <c r="IZ62" s="782"/>
      <c r="JA62" s="782"/>
      <c r="JB62" s="782"/>
      <c r="JC62" s="782"/>
      <c r="JD62" s="782"/>
      <c r="JE62" s="782"/>
      <c r="JF62" s="782"/>
      <c r="JG62" s="782"/>
      <c r="JH62" s="782"/>
      <c r="JI62" s="782"/>
      <c r="JJ62" s="782"/>
      <c r="JK62" s="782"/>
      <c r="JL62" s="782"/>
      <c r="JM62" s="782"/>
      <c r="JN62" s="782"/>
      <c r="JO62" s="782"/>
      <c r="JP62" s="782"/>
      <c r="JQ62" s="782"/>
      <c r="JR62" s="782"/>
      <c r="JS62" s="782"/>
      <c r="JT62" s="782"/>
      <c r="JU62" s="782"/>
      <c r="JV62" s="782"/>
      <c r="JW62" s="782"/>
      <c r="JX62" s="782"/>
      <c r="JY62" s="782"/>
      <c r="JZ62" s="782"/>
      <c r="KA62" s="782"/>
      <c r="KB62" s="782"/>
      <c r="KC62" s="782"/>
      <c r="KD62" s="782"/>
      <c r="KE62" s="782"/>
      <c r="KF62" s="782"/>
      <c r="KG62" s="782"/>
      <c r="KH62" s="782"/>
      <c r="KI62" s="782"/>
      <c r="KJ62" s="782"/>
      <c r="KK62" s="782"/>
      <c r="KL62" s="782"/>
      <c r="KM62" s="782"/>
      <c r="KN62" s="782"/>
      <c r="KO62" s="782"/>
      <c r="KP62" s="782"/>
      <c r="KQ62" s="782"/>
      <c r="KR62" s="782"/>
      <c r="KS62" s="782"/>
      <c r="KT62" s="782"/>
      <c r="KU62" s="782"/>
      <c r="KV62" s="782"/>
      <c r="KW62" s="782"/>
      <c r="KX62" s="782"/>
      <c r="KY62" s="782"/>
      <c r="KZ62" s="782"/>
      <c r="LA62" s="782"/>
      <c r="LB62" s="782"/>
      <c r="LC62" s="782"/>
      <c r="LD62" s="782"/>
      <c r="LE62" s="782"/>
      <c r="LF62" s="782"/>
      <c r="LG62" s="782"/>
      <c r="LH62" s="782"/>
      <c r="LI62" s="782"/>
      <c r="LJ62" s="782"/>
      <c r="LK62" s="782"/>
      <c r="LL62" s="782"/>
      <c r="LM62" s="782"/>
      <c r="LN62" s="782"/>
      <c r="LO62" s="782"/>
      <c r="LP62" s="782"/>
      <c r="LQ62" s="782"/>
      <c r="LR62" s="782"/>
      <c r="LS62" s="782"/>
      <c r="LT62" s="782"/>
      <c r="LU62" s="782"/>
      <c r="LV62" s="782"/>
      <c r="LW62" s="782"/>
      <c r="LX62" s="782"/>
      <c r="LY62" s="782"/>
      <c r="LZ62" s="782"/>
      <c r="MA62" s="782"/>
      <c r="MB62" s="782"/>
      <c r="MC62" s="782"/>
      <c r="MD62" s="782"/>
      <c r="ME62" s="782"/>
      <c r="MF62" s="782"/>
      <c r="MG62" s="782"/>
      <c r="MH62" s="782"/>
      <c r="MI62" s="782"/>
      <c r="MJ62" s="782"/>
      <c r="MK62" s="782"/>
      <c r="ML62" s="782"/>
      <c r="MM62" s="782"/>
      <c r="MN62" s="782"/>
      <c r="MO62" s="782"/>
      <c r="MP62" s="782"/>
      <c r="MQ62" s="782"/>
      <c r="MR62" s="782"/>
      <c r="MS62" s="782"/>
      <c r="MT62" s="782"/>
      <c r="MU62" s="782"/>
      <c r="MV62" s="782"/>
      <c r="MW62" s="782"/>
      <c r="MX62" s="782"/>
      <c r="MY62" s="782"/>
      <c r="MZ62" s="782"/>
      <c r="NA62" s="782"/>
      <c r="NB62" s="782"/>
      <c r="NC62" s="782"/>
      <c r="ND62" s="782"/>
      <c r="NE62" s="782"/>
      <c r="NF62" s="782"/>
      <c r="NG62" s="782"/>
      <c r="NH62" s="782"/>
      <c r="NI62" s="782"/>
      <c r="NJ62" s="782"/>
      <c r="NK62" s="782"/>
      <c r="NL62" s="782"/>
      <c r="NM62" s="782"/>
      <c r="NN62" s="782"/>
      <c r="NO62" s="782"/>
      <c r="NP62" s="782"/>
      <c r="NQ62" s="782"/>
      <c r="NR62" s="782"/>
      <c r="NS62" s="782"/>
      <c r="NT62" s="782"/>
      <c r="NU62" s="782"/>
      <c r="NV62" s="782"/>
      <c r="NW62" s="782"/>
      <c r="NX62" s="782"/>
      <c r="NY62" s="782"/>
      <c r="NZ62" s="782"/>
      <c r="OA62" s="782"/>
      <c r="OB62" s="782"/>
      <c r="OC62" s="782"/>
      <c r="OD62" s="782"/>
      <c r="OE62" s="782"/>
      <c r="OF62" s="782"/>
      <c r="OG62" s="782"/>
      <c r="OH62" s="782"/>
      <c r="OI62" s="782"/>
      <c r="OJ62" s="782"/>
      <c r="OK62" s="782"/>
      <c r="OL62" s="782"/>
      <c r="OM62" s="782"/>
      <c r="ON62" s="782"/>
      <c r="OO62" s="782"/>
      <c r="OP62" s="782"/>
      <c r="OQ62" s="782"/>
      <c r="OR62" s="782"/>
      <c r="OS62" s="782"/>
      <c r="OT62" s="782"/>
      <c r="OU62" s="782"/>
      <c r="OV62" s="782"/>
      <c r="OW62" s="782"/>
      <c r="OX62" s="782"/>
      <c r="OY62" s="782"/>
      <c r="OZ62" s="782"/>
      <c r="PA62" s="782"/>
      <c r="PB62" s="782"/>
      <c r="PC62" s="782"/>
      <c r="PD62" s="782"/>
      <c r="PE62" s="782"/>
      <c r="PF62" s="782"/>
      <c r="PG62" s="782"/>
      <c r="PH62" s="782"/>
      <c r="PI62" s="782"/>
      <c r="PJ62" s="782"/>
      <c r="PK62" s="782"/>
      <c r="PL62" s="782"/>
      <c r="PM62" s="782"/>
      <c r="PN62" s="782"/>
      <c r="PO62" s="782"/>
      <c r="PP62" s="782"/>
      <c r="PQ62" s="782"/>
      <c r="PR62" s="782"/>
      <c r="PS62" s="782"/>
      <c r="PT62" s="782"/>
      <c r="PU62" s="782"/>
      <c r="PV62" s="782"/>
      <c r="PW62" s="782"/>
      <c r="PX62" s="782"/>
      <c r="PY62" s="782"/>
      <c r="PZ62" s="782"/>
      <c r="QA62" s="782"/>
      <c r="QB62" s="782"/>
      <c r="QC62" s="782"/>
      <c r="QD62" s="782"/>
      <c r="QE62" s="782"/>
      <c r="QF62" s="782"/>
      <c r="QG62" s="782"/>
      <c r="QH62" s="782"/>
      <c r="QI62" s="782"/>
      <c r="QJ62" s="782"/>
      <c r="QK62" s="782"/>
      <c r="QL62" s="782"/>
      <c r="QM62" s="782"/>
      <c r="QN62" s="782"/>
      <c r="QO62" s="782"/>
      <c r="QP62" s="782"/>
      <c r="QQ62" s="782"/>
      <c r="QR62" s="782"/>
      <c r="QS62" s="782"/>
      <c r="QT62" s="782"/>
      <c r="QU62" s="782"/>
      <c r="QV62" s="782"/>
      <c r="QW62" s="782"/>
      <c r="QX62" s="782"/>
      <c r="QY62" s="782"/>
      <c r="QZ62" s="782"/>
      <c r="RA62" s="782"/>
      <c r="RB62" s="782"/>
      <c r="RC62" s="782"/>
      <c r="RD62" s="782"/>
      <c r="RE62" s="782"/>
      <c r="RF62" s="782"/>
      <c r="RG62" s="782"/>
      <c r="RH62" s="782"/>
      <c r="RI62" s="782"/>
      <c r="RJ62" s="782"/>
      <c r="RK62" s="782"/>
      <c r="RL62" s="782"/>
      <c r="RM62" s="782"/>
      <c r="RN62" s="782"/>
      <c r="RO62" s="782"/>
      <c r="RP62" s="782"/>
      <c r="RQ62" s="782"/>
      <c r="RR62" s="782"/>
      <c r="RS62" s="782"/>
      <c r="RT62" s="782"/>
      <c r="RU62" s="782"/>
      <c r="RV62" s="782"/>
      <c r="RW62" s="782"/>
      <c r="RX62" s="782"/>
    </row>
    <row r="63" spans="1:492" s="143" customFormat="1">
      <c r="A63" s="782"/>
      <c r="B63" s="782"/>
      <c r="C63" s="782"/>
      <c r="D63" s="782"/>
      <c r="E63" s="782"/>
      <c r="F63" s="782"/>
      <c r="G63" s="782"/>
      <c r="H63" s="782"/>
      <c r="I63" s="782"/>
      <c r="J63" s="782"/>
      <c r="K63" s="782"/>
      <c r="L63" s="782"/>
      <c r="M63" s="782"/>
      <c r="N63" s="782"/>
      <c r="O63" s="782"/>
      <c r="P63" s="782"/>
      <c r="Q63" s="782"/>
      <c r="R63" s="782"/>
      <c r="S63" s="782"/>
      <c r="T63" s="782"/>
      <c r="U63" s="782"/>
      <c r="V63" s="782"/>
      <c r="W63" s="782"/>
      <c r="X63" s="782"/>
      <c r="Y63" s="782"/>
      <c r="Z63" s="782"/>
      <c r="AA63" s="782"/>
      <c r="AB63" s="782"/>
      <c r="AC63" s="782"/>
      <c r="AD63" s="782"/>
      <c r="AE63" s="782"/>
      <c r="AF63" s="782"/>
      <c r="AG63" s="782"/>
      <c r="AH63" s="782"/>
      <c r="AI63" s="782"/>
      <c r="AJ63" s="782"/>
      <c r="AK63" s="782"/>
      <c r="AL63" s="782"/>
      <c r="AM63" s="785"/>
      <c r="AN63" s="785"/>
      <c r="AO63" s="785"/>
      <c r="AP63" s="785"/>
      <c r="AQ63" s="785"/>
      <c r="AR63" s="785"/>
      <c r="AS63" s="785"/>
      <c r="AT63" s="785"/>
      <c r="AU63" s="785"/>
      <c r="AV63" s="785"/>
      <c r="AW63" s="785"/>
      <c r="AX63" s="785"/>
      <c r="AY63" s="785"/>
      <c r="AZ63" s="785"/>
      <c r="BA63" s="785"/>
      <c r="BB63" s="785"/>
      <c r="BC63" s="785"/>
      <c r="BD63" s="785"/>
      <c r="BE63" s="785"/>
      <c r="BF63" s="785"/>
      <c r="BG63" s="785"/>
      <c r="BH63" s="785"/>
      <c r="BI63" s="785"/>
      <c r="BJ63" s="785"/>
      <c r="BK63" s="785"/>
      <c r="BL63" s="785"/>
      <c r="BM63" s="785"/>
      <c r="BN63" s="785"/>
      <c r="BO63" s="785"/>
      <c r="BP63" s="785"/>
      <c r="BQ63" s="785"/>
      <c r="BR63" s="785"/>
      <c r="BS63" s="785"/>
      <c r="BT63" s="785"/>
      <c r="BU63" s="785"/>
      <c r="BV63" s="785"/>
      <c r="BW63" s="785"/>
      <c r="BX63" s="785"/>
      <c r="BY63" s="785"/>
      <c r="BZ63" s="785"/>
      <c r="CA63" s="782"/>
      <c r="CB63" s="782"/>
      <c r="CC63" s="782"/>
      <c r="CD63" s="782"/>
      <c r="CE63" s="782"/>
      <c r="CF63" s="782"/>
      <c r="CG63" s="782"/>
      <c r="CH63" s="782"/>
      <c r="CI63" s="782"/>
      <c r="CJ63" s="782"/>
      <c r="CK63" s="782"/>
      <c r="CL63" s="782"/>
      <c r="CM63" s="782"/>
      <c r="CN63" s="782"/>
      <c r="CO63" s="782"/>
      <c r="CP63" s="782"/>
      <c r="CQ63" s="782"/>
      <c r="CR63" s="782"/>
      <c r="CS63" s="782"/>
      <c r="CT63" s="782"/>
      <c r="CU63" s="782"/>
      <c r="CV63" s="782"/>
      <c r="CW63" s="782"/>
      <c r="CX63" s="782"/>
      <c r="CY63" s="782"/>
      <c r="CZ63" s="782"/>
      <c r="DA63" s="782"/>
      <c r="DB63" s="782"/>
      <c r="DC63" s="782"/>
      <c r="DD63" s="782"/>
      <c r="DE63" s="782"/>
      <c r="DF63" s="782"/>
      <c r="DG63" s="782"/>
      <c r="DH63" s="782"/>
      <c r="DI63" s="782"/>
      <c r="DJ63" s="782"/>
      <c r="DK63" s="782"/>
      <c r="DL63" s="782"/>
      <c r="DM63" s="782"/>
      <c r="DN63" s="782"/>
      <c r="DO63" s="782"/>
      <c r="DP63" s="782"/>
      <c r="DQ63" s="782"/>
      <c r="DR63" s="782"/>
      <c r="DS63" s="782"/>
      <c r="DT63" s="782"/>
      <c r="DU63" s="782"/>
      <c r="DV63" s="782"/>
      <c r="DW63" s="782"/>
      <c r="DX63" s="782"/>
      <c r="DY63" s="782"/>
      <c r="DZ63" s="782"/>
      <c r="EA63" s="782"/>
      <c r="EB63" s="782"/>
      <c r="EC63" s="782"/>
      <c r="ED63" s="782"/>
      <c r="EE63" s="782"/>
      <c r="EF63" s="782"/>
      <c r="EG63" s="782"/>
      <c r="EH63" s="782"/>
      <c r="EI63" s="782"/>
      <c r="EJ63" s="782"/>
      <c r="EK63" s="782"/>
      <c r="EL63" s="782"/>
      <c r="EM63" s="782"/>
      <c r="EN63" s="782"/>
      <c r="EO63" s="782"/>
      <c r="EP63" s="782"/>
      <c r="EQ63" s="782"/>
      <c r="ER63" s="782"/>
      <c r="ES63" s="782"/>
      <c r="ET63" s="782"/>
      <c r="EU63" s="782"/>
      <c r="EV63" s="782"/>
      <c r="EW63" s="782"/>
      <c r="EX63" s="782"/>
      <c r="EY63" s="782"/>
      <c r="EZ63" s="782"/>
      <c r="FA63" s="782"/>
      <c r="FB63" s="782"/>
      <c r="FC63" s="782"/>
      <c r="FD63" s="782"/>
      <c r="FE63" s="782"/>
      <c r="FF63" s="782"/>
      <c r="FG63" s="782"/>
      <c r="FH63" s="782"/>
      <c r="FI63" s="782"/>
      <c r="FJ63" s="782"/>
      <c r="FK63" s="782"/>
      <c r="FL63" s="782"/>
      <c r="FM63" s="782"/>
      <c r="FN63" s="782"/>
      <c r="FO63" s="782"/>
      <c r="FP63" s="782"/>
      <c r="FQ63" s="782"/>
      <c r="FR63" s="782"/>
      <c r="FS63" s="782"/>
      <c r="FT63" s="782"/>
      <c r="FU63" s="782"/>
      <c r="FV63" s="782"/>
      <c r="FW63" s="782"/>
      <c r="FX63" s="782"/>
      <c r="FY63" s="782"/>
      <c r="FZ63" s="782"/>
      <c r="GA63" s="782"/>
      <c r="GB63" s="782"/>
      <c r="GC63" s="782"/>
      <c r="GD63" s="782"/>
      <c r="GE63" s="782"/>
      <c r="GF63" s="782"/>
      <c r="GG63" s="782"/>
      <c r="GH63" s="782"/>
      <c r="GI63" s="782"/>
      <c r="GJ63" s="782"/>
      <c r="GK63" s="782"/>
      <c r="GL63" s="782"/>
      <c r="GM63" s="782"/>
      <c r="GN63" s="782"/>
      <c r="GO63" s="782"/>
      <c r="GP63" s="782"/>
      <c r="GQ63" s="782"/>
      <c r="GR63" s="782"/>
      <c r="GS63" s="782"/>
      <c r="GT63" s="782"/>
      <c r="GU63" s="782"/>
      <c r="GV63" s="782"/>
      <c r="GW63" s="782"/>
      <c r="GX63" s="782"/>
      <c r="GY63" s="782"/>
      <c r="GZ63" s="782"/>
      <c r="HA63" s="782"/>
      <c r="HB63" s="782"/>
      <c r="HC63" s="782"/>
      <c r="HD63" s="782"/>
      <c r="HE63" s="782"/>
      <c r="HF63" s="782"/>
      <c r="HG63" s="782"/>
      <c r="HH63" s="782"/>
      <c r="HI63" s="782"/>
      <c r="HJ63" s="782"/>
      <c r="HK63" s="782"/>
      <c r="HL63" s="782"/>
      <c r="HM63" s="782"/>
      <c r="HN63" s="782"/>
      <c r="HO63" s="782"/>
      <c r="HP63" s="782"/>
      <c r="HQ63" s="782"/>
      <c r="HR63" s="782"/>
      <c r="HS63" s="782"/>
      <c r="HT63" s="782"/>
      <c r="HU63" s="782"/>
      <c r="HV63" s="782"/>
      <c r="HW63" s="782"/>
      <c r="HX63" s="782"/>
      <c r="HY63" s="782"/>
      <c r="HZ63" s="782"/>
      <c r="IA63" s="782"/>
      <c r="IB63" s="782"/>
      <c r="IC63" s="782"/>
      <c r="ID63" s="782"/>
      <c r="IE63" s="782"/>
      <c r="IF63" s="782"/>
      <c r="IG63" s="782"/>
      <c r="IH63" s="782"/>
      <c r="II63" s="782"/>
      <c r="IJ63" s="782"/>
      <c r="IK63" s="782"/>
      <c r="IL63" s="782"/>
      <c r="IM63" s="782"/>
      <c r="IN63" s="782"/>
      <c r="IO63" s="782"/>
      <c r="IP63" s="782"/>
      <c r="IQ63" s="782"/>
      <c r="IR63" s="782"/>
      <c r="IS63" s="782"/>
      <c r="IT63" s="782"/>
      <c r="IU63" s="782"/>
      <c r="IV63" s="782"/>
      <c r="IW63" s="782"/>
      <c r="IX63" s="782"/>
      <c r="IY63" s="782"/>
      <c r="IZ63" s="782"/>
      <c r="JA63" s="782"/>
      <c r="JB63" s="782"/>
      <c r="JC63" s="782"/>
      <c r="JD63" s="782"/>
      <c r="JE63" s="782"/>
      <c r="JF63" s="782"/>
      <c r="JG63" s="782"/>
      <c r="JH63" s="782"/>
      <c r="JI63" s="782"/>
      <c r="JJ63" s="782"/>
      <c r="JK63" s="782"/>
      <c r="JL63" s="782"/>
      <c r="JM63" s="782"/>
      <c r="JN63" s="782"/>
      <c r="JO63" s="782"/>
      <c r="JP63" s="782"/>
      <c r="JQ63" s="782"/>
      <c r="JR63" s="782"/>
      <c r="JS63" s="782"/>
      <c r="JT63" s="782"/>
      <c r="JU63" s="782"/>
      <c r="JV63" s="782"/>
      <c r="JW63" s="782"/>
      <c r="JX63" s="782"/>
      <c r="JY63" s="782"/>
      <c r="JZ63" s="782"/>
      <c r="KA63" s="782"/>
      <c r="KB63" s="782"/>
      <c r="KC63" s="782"/>
      <c r="KD63" s="782"/>
      <c r="KE63" s="782"/>
      <c r="KF63" s="782"/>
      <c r="KG63" s="782"/>
      <c r="KH63" s="782"/>
      <c r="KI63" s="782"/>
      <c r="KJ63" s="782"/>
      <c r="KK63" s="782"/>
      <c r="KL63" s="782"/>
      <c r="KM63" s="782"/>
      <c r="KN63" s="782"/>
      <c r="KO63" s="782"/>
      <c r="KP63" s="782"/>
      <c r="KQ63" s="782"/>
      <c r="KR63" s="782"/>
      <c r="KS63" s="782"/>
      <c r="KT63" s="782"/>
      <c r="KU63" s="782"/>
      <c r="KV63" s="782"/>
      <c r="KW63" s="782"/>
      <c r="KX63" s="782"/>
      <c r="KY63" s="782"/>
      <c r="KZ63" s="782"/>
      <c r="LA63" s="782"/>
      <c r="LB63" s="782"/>
      <c r="LC63" s="782"/>
      <c r="LD63" s="782"/>
      <c r="LE63" s="782"/>
      <c r="LF63" s="782"/>
      <c r="LG63" s="782"/>
      <c r="LH63" s="782"/>
      <c r="LI63" s="782"/>
      <c r="LJ63" s="782"/>
      <c r="LK63" s="782"/>
      <c r="LL63" s="782"/>
      <c r="LM63" s="782"/>
      <c r="LN63" s="782"/>
      <c r="LO63" s="782"/>
      <c r="LP63" s="782"/>
      <c r="LQ63" s="782"/>
      <c r="LR63" s="782"/>
      <c r="LS63" s="782"/>
      <c r="LT63" s="782"/>
      <c r="LU63" s="782"/>
      <c r="LV63" s="782"/>
      <c r="LW63" s="782"/>
      <c r="LX63" s="782"/>
      <c r="LY63" s="782"/>
      <c r="LZ63" s="782"/>
      <c r="MA63" s="782"/>
      <c r="MB63" s="782"/>
      <c r="MC63" s="782"/>
      <c r="MD63" s="782"/>
      <c r="ME63" s="782"/>
      <c r="MF63" s="782"/>
      <c r="MG63" s="782"/>
      <c r="MH63" s="782"/>
      <c r="MI63" s="782"/>
      <c r="MJ63" s="782"/>
      <c r="MK63" s="782"/>
      <c r="ML63" s="782"/>
      <c r="MM63" s="782"/>
      <c r="MN63" s="782"/>
      <c r="MO63" s="782"/>
      <c r="MP63" s="782"/>
      <c r="MQ63" s="782"/>
      <c r="MR63" s="782"/>
      <c r="MS63" s="782"/>
      <c r="MT63" s="782"/>
      <c r="MU63" s="782"/>
      <c r="MV63" s="782"/>
      <c r="MW63" s="782"/>
      <c r="MX63" s="782"/>
      <c r="MY63" s="782"/>
      <c r="MZ63" s="782"/>
      <c r="NA63" s="782"/>
      <c r="NB63" s="782"/>
      <c r="NC63" s="782"/>
      <c r="ND63" s="782"/>
      <c r="NE63" s="782"/>
      <c r="NF63" s="782"/>
      <c r="NG63" s="782"/>
      <c r="NH63" s="782"/>
      <c r="NI63" s="782"/>
      <c r="NJ63" s="782"/>
      <c r="NK63" s="782"/>
      <c r="NL63" s="782"/>
      <c r="NM63" s="782"/>
      <c r="NN63" s="782"/>
      <c r="NO63" s="782"/>
      <c r="NP63" s="782"/>
      <c r="NQ63" s="782"/>
      <c r="NR63" s="782"/>
      <c r="NS63" s="782"/>
      <c r="NT63" s="782"/>
      <c r="NU63" s="782"/>
      <c r="NV63" s="782"/>
      <c r="NW63" s="782"/>
      <c r="NX63" s="782"/>
      <c r="NY63" s="782"/>
      <c r="NZ63" s="782"/>
      <c r="OA63" s="782"/>
      <c r="OB63" s="782"/>
      <c r="OC63" s="782"/>
      <c r="OD63" s="782"/>
      <c r="OE63" s="782"/>
      <c r="OF63" s="782"/>
      <c r="OG63" s="782"/>
      <c r="OH63" s="782"/>
      <c r="OI63" s="782"/>
      <c r="OJ63" s="782"/>
      <c r="OK63" s="782"/>
      <c r="OL63" s="782"/>
      <c r="OM63" s="782"/>
      <c r="ON63" s="782"/>
      <c r="OO63" s="782"/>
      <c r="OP63" s="782"/>
      <c r="OQ63" s="782"/>
      <c r="OR63" s="782"/>
      <c r="OS63" s="782"/>
      <c r="OT63" s="782"/>
      <c r="OU63" s="782"/>
      <c r="OV63" s="782"/>
      <c r="OW63" s="782"/>
      <c r="OX63" s="782"/>
      <c r="OY63" s="782"/>
      <c r="OZ63" s="782"/>
      <c r="PA63" s="782"/>
      <c r="PB63" s="782"/>
      <c r="PC63" s="782"/>
      <c r="PD63" s="782"/>
      <c r="PE63" s="782"/>
      <c r="PF63" s="782"/>
      <c r="PG63" s="782"/>
      <c r="PH63" s="782"/>
      <c r="PI63" s="782"/>
      <c r="PJ63" s="782"/>
      <c r="PK63" s="782"/>
      <c r="PL63" s="782"/>
      <c r="PM63" s="782"/>
      <c r="PN63" s="782"/>
      <c r="PO63" s="782"/>
      <c r="PP63" s="782"/>
      <c r="PQ63" s="782"/>
      <c r="PR63" s="782"/>
      <c r="PS63" s="782"/>
      <c r="PT63" s="782"/>
      <c r="PU63" s="782"/>
      <c r="PV63" s="782"/>
      <c r="PW63" s="782"/>
      <c r="PX63" s="782"/>
      <c r="PY63" s="782"/>
      <c r="PZ63" s="782"/>
      <c r="QA63" s="782"/>
      <c r="QB63" s="782"/>
      <c r="QC63" s="782"/>
      <c r="QD63" s="782"/>
      <c r="QE63" s="782"/>
      <c r="QF63" s="782"/>
      <c r="QG63" s="782"/>
      <c r="QH63" s="782"/>
      <c r="QI63" s="782"/>
      <c r="QJ63" s="782"/>
      <c r="QK63" s="782"/>
      <c r="QL63" s="782"/>
      <c r="QM63" s="782"/>
      <c r="QN63" s="782"/>
      <c r="QO63" s="782"/>
      <c r="QP63" s="782"/>
      <c r="QQ63" s="782"/>
      <c r="QR63" s="782"/>
      <c r="QS63" s="782"/>
      <c r="QT63" s="782"/>
      <c r="QU63" s="782"/>
      <c r="QV63" s="782"/>
      <c r="QW63" s="782"/>
      <c r="QX63" s="782"/>
      <c r="QY63" s="782"/>
      <c r="QZ63" s="782"/>
      <c r="RA63" s="782"/>
      <c r="RB63" s="782"/>
      <c r="RC63" s="782"/>
      <c r="RD63" s="782"/>
      <c r="RE63" s="782"/>
      <c r="RF63" s="782"/>
      <c r="RG63" s="782"/>
      <c r="RH63" s="782"/>
      <c r="RI63" s="782"/>
      <c r="RJ63" s="782"/>
      <c r="RK63" s="782"/>
      <c r="RL63" s="782"/>
      <c r="RM63" s="782"/>
      <c r="RN63" s="782"/>
      <c r="RO63" s="782"/>
      <c r="RP63" s="782"/>
      <c r="RQ63" s="782"/>
      <c r="RR63" s="782"/>
      <c r="RS63" s="782"/>
      <c r="RT63" s="782"/>
      <c r="RU63" s="782"/>
      <c r="RV63" s="782"/>
      <c r="RW63" s="782"/>
      <c r="RX63" s="782"/>
    </row>
    <row r="64" spans="1:492" s="143" customFormat="1">
      <c r="A64" s="782"/>
      <c r="B64" s="782"/>
      <c r="C64" s="782"/>
      <c r="D64" s="782"/>
      <c r="E64" s="782"/>
      <c r="F64" s="782"/>
      <c r="G64" s="782"/>
      <c r="H64" s="782"/>
      <c r="I64" s="782"/>
      <c r="J64" s="782"/>
      <c r="K64" s="782"/>
      <c r="L64" s="782"/>
      <c r="M64" s="782"/>
      <c r="N64" s="782"/>
      <c r="O64" s="782"/>
      <c r="P64" s="782"/>
      <c r="Q64" s="782"/>
      <c r="R64" s="782"/>
      <c r="S64" s="782"/>
      <c r="T64" s="782"/>
      <c r="U64" s="782"/>
      <c r="V64" s="782"/>
      <c r="W64" s="782"/>
      <c r="X64" s="782"/>
      <c r="Y64" s="782"/>
      <c r="Z64" s="782"/>
      <c r="AA64" s="782"/>
      <c r="AB64" s="782"/>
      <c r="AC64" s="782"/>
      <c r="AD64" s="782"/>
      <c r="AE64" s="782"/>
      <c r="AF64" s="782"/>
      <c r="AG64" s="782"/>
      <c r="AH64" s="782"/>
      <c r="AI64" s="782"/>
      <c r="AJ64" s="782"/>
      <c r="AK64" s="782"/>
      <c r="AL64" s="782"/>
      <c r="AM64" s="785"/>
      <c r="AN64" s="785"/>
      <c r="AO64" s="785"/>
      <c r="AP64" s="785"/>
      <c r="AQ64" s="785"/>
      <c r="AR64" s="785"/>
      <c r="AS64" s="785"/>
      <c r="AT64" s="785"/>
      <c r="AU64" s="785"/>
      <c r="AV64" s="785"/>
      <c r="AW64" s="785"/>
      <c r="AX64" s="785"/>
      <c r="AY64" s="785"/>
      <c r="AZ64" s="785"/>
      <c r="BA64" s="785"/>
      <c r="BB64" s="785"/>
      <c r="BC64" s="785"/>
      <c r="BD64" s="785"/>
      <c r="BE64" s="785"/>
      <c r="BF64" s="785"/>
      <c r="BG64" s="785"/>
      <c r="BH64" s="785"/>
      <c r="BI64" s="785"/>
      <c r="BJ64" s="785"/>
      <c r="BK64" s="785"/>
      <c r="BL64" s="785"/>
      <c r="BM64" s="785"/>
      <c r="BN64" s="785"/>
      <c r="BO64" s="785"/>
      <c r="BP64" s="785"/>
      <c r="BQ64" s="785"/>
      <c r="BR64" s="785"/>
      <c r="BS64" s="785"/>
      <c r="BT64" s="785"/>
      <c r="BU64" s="785"/>
      <c r="BV64" s="785"/>
      <c r="BW64" s="785"/>
      <c r="BX64" s="785"/>
      <c r="BY64" s="785"/>
      <c r="BZ64" s="785"/>
      <c r="CA64" s="782"/>
      <c r="CB64" s="782"/>
      <c r="CC64" s="782"/>
      <c r="CD64" s="782"/>
      <c r="CE64" s="782"/>
      <c r="CF64" s="782"/>
      <c r="CG64" s="782"/>
      <c r="CH64" s="782"/>
      <c r="CI64" s="782"/>
      <c r="CJ64" s="782"/>
      <c r="CK64" s="782"/>
      <c r="CL64" s="782"/>
      <c r="CM64" s="782"/>
      <c r="CN64" s="782"/>
      <c r="CO64" s="782"/>
      <c r="CP64" s="782"/>
      <c r="CQ64" s="782"/>
      <c r="CR64" s="782"/>
      <c r="CS64" s="782"/>
      <c r="CT64" s="782"/>
      <c r="CU64" s="782"/>
      <c r="CV64" s="782"/>
      <c r="CW64" s="782"/>
      <c r="CX64" s="782"/>
      <c r="CY64" s="782"/>
      <c r="CZ64" s="782"/>
      <c r="DA64" s="782"/>
      <c r="DB64" s="782"/>
      <c r="DC64" s="782"/>
      <c r="DD64" s="782"/>
      <c r="DE64" s="782"/>
      <c r="DF64" s="782"/>
      <c r="DG64" s="782"/>
      <c r="DH64" s="782"/>
      <c r="DI64" s="782"/>
      <c r="DJ64" s="782"/>
      <c r="DK64" s="782"/>
      <c r="DL64" s="782"/>
      <c r="DM64" s="782"/>
      <c r="DN64" s="782"/>
      <c r="DO64" s="782"/>
      <c r="DP64" s="782"/>
      <c r="DQ64" s="782"/>
      <c r="DR64" s="782"/>
      <c r="DS64" s="782"/>
      <c r="DT64" s="782"/>
      <c r="DU64" s="782"/>
      <c r="DV64" s="782"/>
      <c r="DW64" s="782"/>
      <c r="DX64" s="782"/>
      <c r="DY64" s="782"/>
      <c r="DZ64" s="782"/>
      <c r="EA64" s="782"/>
      <c r="EB64" s="782"/>
      <c r="EC64" s="782"/>
      <c r="ED64" s="782"/>
      <c r="EE64" s="782"/>
      <c r="EF64" s="782"/>
      <c r="EG64" s="782"/>
      <c r="EH64" s="782"/>
      <c r="EI64" s="782"/>
      <c r="EJ64" s="782"/>
      <c r="EK64" s="782"/>
      <c r="EL64" s="782"/>
      <c r="EM64" s="782"/>
      <c r="EN64" s="782"/>
      <c r="EO64" s="782"/>
      <c r="EP64" s="782"/>
      <c r="EQ64" s="782"/>
      <c r="ER64" s="782"/>
      <c r="ES64" s="782"/>
      <c r="ET64" s="782"/>
      <c r="EU64" s="782"/>
      <c r="EV64" s="782"/>
      <c r="EW64" s="782"/>
      <c r="EX64" s="782"/>
      <c r="EY64" s="782"/>
      <c r="EZ64" s="782"/>
      <c r="FA64" s="782"/>
      <c r="FB64" s="782"/>
      <c r="FC64" s="782"/>
      <c r="FD64" s="782"/>
      <c r="FE64" s="782"/>
      <c r="FF64" s="782"/>
      <c r="FG64" s="782"/>
      <c r="FH64" s="782"/>
      <c r="FI64" s="782"/>
      <c r="FJ64" s="782"/>
      <c r="FK64" s="782"/>
      <c r="FL64" s="782"/>
      <c r="FM64" s="782"/>
      <c r="FN64" s="782"/>
      <c r="FO64" s="782"/>
      <c r="FP64" s="782"/>
      <c r="FQ64" s="782"/>
      <c r="FR64" s="782"/>
      <c r="FS64" s="782"/>
      <c r="FT64" s="782"/>
      <c r="FU64" s="782"/>
      <c r="FV64" s="782"/>
      <c r="FW64" s="782"/>
      <c r="FX64" s="782"/>
      <c r="FY64" s="782"/>
      <c r="FZ64" s="782"/>
      <c r="GA64" s="782"/>
      <c r="GB64" s="782"/>
      <c r="GC64" s="782"/>
      <c r="GD64" s="782"/>
      <c r="GE64" s="782"/>
      <c r="GF64" s="782"/>
      <c r="GG64" s="782"/>
      <c r="GH64" s="782"/>
      <c r="GI64" s="782"/>
      <c r="GJ64" s="782"/>
      <c r="GK64" s="782"/>
      <c r="GL64" s="782"/>
      <c r="GM64" s="782"/>
      <c r="GN64" s="782"/>
      <c r="GO64" s="782"/>
      <c r="GP64" s="782"/>
      <c r="GQ64" s="782"/>
      <c r="GR64" s="782"/>
      <c r="GS64" s="782"/>
      <c r="GT64" s="782"/>
      <c r="GU64" s="782"/>
      <c r="GV64" s="782"/>
      <c r="GW64" s="782"/>
      <c r="GX64" s="782"/>
      <c r="GY64" s="782"/>
      <c r="GZ64" s="782"/>
      <c r="HA64" s="782"/>
      <c r="HB64" s="782"/>
      <c r="HC64" s="782"/>
      <c r="HD64" s="782"/>
      <c r="HE64" s="782"/>
      <c r="HF64" s="782"/>
      <c r="HG64" s="782"/>
      <c r="HH64" s="782"/>
      <c r="HI64" s="782"/>
      <c r="HJ64" s="782"/>
      <c r="HK64" s="782"/>
      <c r="HL64" s="782"/>
      <c r="HM64" s="782"/>
      <c r="HN64" s="782"/>
      <c r="HO64" s="782"/>
      <c r="HP64" s="782"/>
      <c r="HQ64" s="782"/>
      <c r="HR64" s="782"/>
      <c r="HS64" s="782"/>
      <c r="HT64" s="782"/>
      <c r="HU64" s="782"/>
      <c r="HV64" s="782"/>
      <c r="HW64" s="782"/>
      <c r="HX64" s="782"/>
      <c r="HY64" s="782"/>
      <c r="HZ64" s="782"/>
      <c r="IA64" s="782"/>
      <c r="IB64" s="782"/>
      <c r="IC64" s="782"/>
      <c r="ID64" s="782"/>
      <c r="IE64" s="782"/>
      <c r="IF64" s="782"/>
      <c r="IG64" s="782"/>
      <c r="IH64" s="782"/>
      <c r="II64" s="782"/>
      <c r="IJ64" s="782"/>
      <c r="IK64" s="782"/>
      <c r="IL64" s="782"/>
      <c r="IM64" s="782"/>
      <c r="IN64" s="782"/>
      <c r="IO64" s="782"/>
      <c r="IP64" s="782"/>
      <c r="IQ64" s="782"/>
      <c r="IR64" s="782"/>
      <c r="IS64" s="782"/>
      <c r="IT64" s="782"/>
      <c r="IU64" s="782"/>
      <c r="IV64" s="782"/>
      <c r="IW64" s="782"/>
      <c r="IX64" s="782"/>
      <c r="IY64" s="782"/>
      <c r="IZ64" s="782"/>
      <c r="JA64" s="782"/>
      <c r="JB64" s="782"/>
      <c r="JC64" s="782"/>
      <c r="JD64" s="782"/>
      <c r="JE64" s="782"/>
      <c r="JF64" s="782"/>
      <c r="JG64" s="782"/>
      <c r="JH64" s="782"/>
      <c r="JI64" s="782"/>
      <c r="JJ64" s="782"/>
      <c r="JK64" s="782"/>
      <c r="JL64" s="782"/>
      <c r="JM64" s="782"/>
      <c r="JN64" s="782"/>
      <c r="JO64" s="782"/>
      <c r="JP64" s="782"/>
      <c r="JQ64" s="782"/>
      <c r="JR64" s="782"/>
      <c r="JS64" s="782"/>
      <c r="JT64" s="782"/>
      <c r="JU64" s="782"/>
      <c r="JV64" s="782"/>
      <c r="JW64" s="782"/>
      <c r="JX64" s="782"/>
      <c r="JY64" s="782"/>
      <c r="JZ64" s="782"/>
      <c r="KA64" s="782"/>
      <c r="KB64" s="782"/>
      <c r="KC64" s="782"/>
      <c r="KD64" s="782"/>
      <c r="KE64" s="782"/>
      <c r="KF64" s="782"/>
      <c r="KG64" s="782"/>
      <c r="KH64" s="782"/>
      <c r="KI64" s="782"/>
      <c r="KJ64" s="782"/>
      <c r="KK64" s="782"/>
      <c r="KL64" s="782"/>
      <c r="KM64" s="782"/>
      <c r="KN64" s="782"/>
      <c r="KO64" s="782"/>
      <c r="KP64" s="782"/>
      <c r="KQ64" s="782"/>
      <c r="KR64" s="782"/>
      <c r="KS64" s="782"/>
      <c r="KT64" s="782"/>
      <c r="KU64" s="782"/>
      <c r="KV64" s="782"/>
      <c r="KW64" s="782"/>
      <c r="KX64" s="782"/>
      <c r="KY64" s="782"/>
      <c r="KZ64" s="782"/>
      <c r="LA64" s="782"/>
      <c r="LB64" s="782"/>
      <c r="LC64" s="782"/>
      <c r="LD64" s="782"/>
      <c r="LE64" s="782"/>
      <c r="LF64" s="782"/>
      <c r="LG64" s="782"/>
      <c r="LH64" s="782"/>
      <c r="LI64" s="782"/>
      <c r="LJ64" s="782"/>
      <c r="LK64" s="782"/>
      <c r="LL64" s="782"/>
      <c r="LM64" s="782"/>
      <c r="LN64" s="782"/>
      <c r="LO64" s="782"/>
      <c r="LP64" s="782"/>
      <c r="LQ64" s="782"/>
      <c r="LR64" s="782"/>
      <c r="LS64" s="782"/>
      <c r="LT64" s="782"/>
      <c r="LU64" s="782"/>
      <c r="LV64" s="782"/>
      <c r="LW64" s="782"/>
      <c r="LX64" s="782"/>
      <c r="LY64" s="782"/>
      <c r="LZ64" s="782"/>
      <c r="MA64" s="782"/>
      <c r="MB64" s="782"/>
      <c r="MC64" s="782"/>
      <c r="MD64" s="782"/>
      <c r="ME64" s="782"/>
      <c r="MF64" s="782"/>
      <c r="MG64" s="782"/>
      <c r="MH64" s="782"/>
      <c r="MI64" s="782"/>
      <c r="MJ64" s="782"/>
      <c r="MK64" s="782"/>
      <c r="ML64" s="782"/>
      <c r="MM64" s="782"/>
      <c r="MN64" s="782"/>
      <c r="MO64" s="782"/>
      <c r="MP64" s="782"/>
      <c r="MQ64" s="782"/>
      <c r="MR64" s="782"/>
      <c r="MS64" s="782"/>
      <c r="MT64" s="782"/>
      <c r="MU64" s="782"/>
      <c r="MV64" s="782"/>
      <c r="MW64" s="782"/>
      <c r="MX64" s="782"/>
      <c r="MY64" s="782"/>
      <c r="MZ64" s="782"/>
      <c r="NA64" s="782"/>
      <c r="NB64" s="782"/>
      <c r="NC64" s="782"/>
      <c r="ND64" s="782"/>
      <c r="NE64" s="782"/>
      <c r="NF64" s="782"/>
      <c r="NG64" s="782"/>
      <c r="NH64" s="782"/>
      <c r="NI64" s="782"/>
      <c r="NJ64" s="782"/>
      <c r="NK64" s="782"/>
      <c r="NL64" s="782"/>
      <c r="NM64" s="782"/>
      <c r="NN64" s="782"/>
      <c r="NO64" s="782"/>
      <c r="NP64" s="782"/>
      <c r="NQ64" s="782"/>
      <c r="NR64" s="782"/>
      <c r="NS64" s="782"/>
      <c r="NT64" s="782"/>
      <c r="NU64" s="782"/>
      <c r="NV64" s="782"/>
      <c r="NW64" s="782"/>
      <c r="NX64" s="782"/>
      <c r="NY64" s="782"/>
      <c r="NZ64" s="782"/>
      <c r="OA64" s="782"/>
      <c r="OB64" s="782"/>
      <c r="OC64" s="782"/>
      <c r="OD64" s="782"/>
      <c r="OE64" s="782"/>
      <c r="OF64" s="782"/>
      <c r="OG64" s="782"/>
      <c r="OH64" s="782"/>
      <c r="OI64" s="782"/>
      <c r="OJ64" s="782"/>
      <c r="OK64" s="782"/>
      <c r="OL64" s="782"/>
      <c r="OM64" s="782"/>
      <c r="ON64" s="782"/>
      <c r="OO64" s="782"/>
      <c r="OP64" s="782"/>
      <c r="OQ64" s="782"/>
      <c r="OR64" s="782"/>
      <c r="OS64" s="782"/>
      <c r="OT64" s="782"/>
      <c r="OU64" s="782"/>
      <c r="OV64" s="782"/>
      <c r="OW64" s="782"/>
      <c r="OX64" s="782"/>
      <c r="OY64" s="782"/>
      <c r="OZ64" s="782"/>
      <c r="PA64" s="782"/>
      <c r="PB64" s="782"/>
      <c r="PC64" s="782"/>
      <c r="PD64" s="782"/>
      <c r="PE64" s="782"/>
      <c r="PF64" s="782"/>
      <c r="PG64" s="782"/>
      <c r="PH64" s="782"/>
      <c r="PI64" s="782"/>
      <c r="PJ64" s="782"/>
      <c r="PK64" s="782"/>
      <c r="PL64" s="782"/>
      <c r="PM64" s="782"/>
      <c r="PN64" s="782"/>
      <c r="PO64" s="782"/>
      <c r="PP64" s="782"/>
      <c r="PQ64" s="782"/>
      <c r="PR64" s="782"/>
      <c r="PS64" s="782"/>
      <c r="PT64" s="782"/>
      <c r="PU64" s="782"/>
      <c r="PV64" s="782"/>
      <c r="PW64" s="782"/>
      <c r="PX64" s="782"/>
      <c r="PY64" s="782"/>
      <c r="PZ64" s="782"/>
      <c r="QA64" s="782"/>
      <c r="QB64" s="782"/>
      <c r="QC64" s="782"/>
      <c r="QD64" s="782"/>
      <c r="QE64" s="782"/>
      <c r="QF64" s="782"/>
      <c r="QG64" s="782"/>
      <c r="QH64" s="782"/>
      <c r="QI64" s="782"/>
      <c r="QJ64" s="782"/>
      <c r="QK64" s="782"/>
      <c r="QL64" s="782"/>
      <c r="QM64" s="782"/>
      <c r="QN64" s="782"/>
      <c r="QO64" s="782"/>
      <c r="QP64" s="782"/>
      <c r="QQ64" s="782"/>
      <c r="QR64" s="782"/>
      <c r="QS64" s="782"/>
      <c r="QT64" s="782"/>
      <c r="QU64" s="782"/>
      <c r="QV64" s="782"/>
      <c r="QW64" s="782"/>
      <c r="QX64" s="782"/>
      <c r="QY64" s="782"/>
      <c r="QZ64" s="782"/>
      <c r="RA64" s="782"/>
      <c r="RB64" s="782"/>
      <c r="RC64" s="782"/>
      <c r="RD64" s="782"/>
      <c r="RE64" s="782"/>
      <c r="RF64" s="782"/>
      <c r="RG64" s="782"/>
      <c r="RH64" s="782"/>
      <c r="RI64" s="782"/>
      <c r="RJ64" s="782"/>
      <c r="RK64" s="782"/>
      <c r="RL64" s="782"/>
      <c r="RM64" s="782"/>
      <c r="RN64" s="782"/>
      <c r="RO64" s="782"/>
      <c r="RP64" s="782"/>
      <c r="RQ64" s="782"/>
      <c r="RR64" s="782"/>
      <c r="RS64" s="782"/>
      <c r="RT64" s="782"/>
      <c r="RU64" s="782"/>
      <c r="RV64" s="782"/>
      <c r="RW64" s="782"/>
      <c r="RX64" s="782"/>
    </row>
    <row r="65" spans="1:492" s="143" customFormat="1">
      <c r="A65" s="782"/>
      <c r="B65" s="782"/>
      <c r="C65" s="782"/>
      <c r="D65" s="782"/>
      <c r="E65" s="782"/>
      <c r="F65" s="782"/>
      <c r="G65" s="782"/>
      <c r="H65" s="782"/>
      <c r="I65" s="782"/>
      <c r="J65" s="782"/>
      <c r="K65" s="782"/>
      <c r="L65" s="782"/>
      <c r="M65" s="782"/>
      <c r="N65" s="782"/>
      <c r="O65" s="782"/>
      <c r="P65" s="782"/>
      <c r="Q65" s="782"/>
      <c r="R65" s="782"/>
      <c r="S65" s="782"/>
      <c r="T65" s="782"/>
      <c r="U65" s="782"/>
      <c r="V65" s="782"/>
      <c r="W65" s="782"/>
      <c r="X65" s="782"/>
      <c r="Y65" s="782"/>
      <c r="Z65" s="782"/>
      <c r="AA65" s="782"/>
      <c r="AB65" s="782"/>
      <c r="AC65" s="782"/>
      <c r="AD65" s="782"/>
      <c r="AE65" s="782"/>
      <c r="AF65" s="782"/>
      <c r="AG65" s="782"/>
      <c r="AH65" s="782"/>
      <c r="AI65" s="782"/>
      <c r="AJ65" s="782"/>
      <c r="AK65" s="782"/>
      <c r="AL65" s="782"/>
      <c r="AM65" s="785"/>
      <c r="AN65" s="785"/>
      <c r="AO65" s="785"/>
      <c r="AP65" s="785"/>
      <c r="AQ65" s="785"/>
      <c r="AR65" s="785"/>
      <c r="AS65" s="785"/>
      <c r="AT65" s="785"/>
      <c r="AU65" s="785"/>
      <c r="AV65" s="785"/>
      <c r="AW65" s="785"/>
      <c r="AX65" s="785"/>
      <c r="AY65" s="785"/>
      <c r="AZ65" s="785"/>
      <c r="BA65" s="785"/>
      <c r="BB65" s="785"/>
      <c r="BC65" s="785"/>
      <c r="BD65" s="785"/>
      <c r="BE65" s="785"/>
      <c r="BF65" s="785"/>
      <c r="BG65" s="785"/>
      <c r="BH65" s="785"/>
      <c r="BI65" s="785"/>
      <c r="BJ65" s="785"/>
      <c r="BK65" s="785"/>
      <c r="BL65" s="785"/>
      <c r="BM65" s="785"/>
      <c r="BN65" s="785"/>
      <c r="BO65" s="785"/>
      <c r="BP65" s="785"/>
      <c r="BQ65" s="785"/>
      <c r="BR65" s="785"/>
      <c r="BS65" s="785"/>
      <c r="BT65" s="785"/>
      <c r="BU65" s="785"/>
      <c r="BV65" s="785"/>
      <c r="BW65" s="785"/>
      <c r="BX65" s="785"/>
      <c r="BY65" s="785"/>
      <c r="BZ65" s="785"/>
      <c r="CA65" s="782"/>
      <c r="CB65" s="782"/>
      <c r="CC65" s="782"/>
      <c r="CD65" s="782"/>
      <c r="CE65" s="782"/>
      <c r="CF65" s="782"/>
      <c r="CG65" s="782"/>
      <c r="CH65" s="782"/>
      <c r="CI65" s="782"/>
      <c r="CJ65" s="782"/>
      <c r="CK65" s="782"/>
      <c r="CL65" s="782"/>
      <c r="CM65" s="782"/>
      <c r="CN65" s="782"/>
      <c r="CO65" s="782"/>
      <c r="CP65" s="782"/>
      <c r="CQ65" s="782"/>
      <c r="CR65" s="782"/>
      <c r="CS65" s="782"/>
      <c r="CT65" s="782"/>
      <c r="CU65" s="782"/>
      <c r="CV65" s="782"/>
      <c r="CW65" s="782"/>
      <c r="CX65" s="782"/>
      <c r="CY65" s="782"/>
      <c r="CZ65" s="782"/>
      <c r="DA65" s="782"/>
      <c r="DB65" s="782"/>
      <c r="DC65" s="782"/>
      <c r="DD65" s="782"/>
      <c r="DE65" s="782"/>
      <c r="DF65" s="782"/>
      <c r="DG65" s="782"/>
      <c r="DH65" s="782"/>
      <c r="DI65" s="782"/>
      <c r="DJ65" s="782"/>
      <c r="DK65" s="782"/>
      <c r="DL65" s="782"/>
      <c r="DM65" s="782"/>
      <c r="DN65" s="782"/>
      <c r="DO65" s="782"/>
      <c r="DP65" s="782"/>
      <c r="DQ65" s="782"/>
      <c r="DR65" s="782"/>
      <c r="DS65" s="782"/>
      <c r="DT65" s="782"/>
      <c r="DU65" s="782"/>
      <c r="DV65" s="782"/>
      <c r="DW65" s="782"/>
      <c r="DX65" s="782"/>
      <c r="DY65" s="782"/>
      <c r="DZ65" s="782"/>
      <c r="EA65" s="782"/>
      <c r="EB65" s="782"/>
      <c r="EC65" s="782"/>
      <c r="ED65" s="782"/>
      <c r="EE65" s="782"/>
      <c r="EF65" s="782"/>
      <c r="EG65" s="782"/>
      <c r="EH65" s="782"/>
      <c r="EI65" s="782"/>
      <c r="EJ65" s="782"/>
      <c r="EK65" s="782"/>
      <c r="EL65" s="782"/>
      <c r="EM65" s="782"/>
      <c r="EN65" s="782"/>
      <c r="EO65" s="782"/>
      <c r="EP65" s="782"/>
      <c r="EQ65" s="782"/>
      <c r="ER65" s="782"/>
      <c r="ES65" s="782"/>
      <c r="ET65" s="782"/>
      <c r="EU65" s="782"/>
      <c r="EV65" s="782"/>
      <c r="EW65" s="782"/>
      <c r="EX65" s="782"/>
      <c r="EY65" s="782"/>
      <c r="EZ65" s="782"/>
      <c r="FA65" s="782"/>
      <c r="FB65" s="782"/>
      <c r="FC65" s="782"/>
      <c r="FD65" s="782"/>
      <c r="FE65" s="782"/>
      <c r="FF65" s="782"/>
      <c r="FG65" s="782"/>
      <c r="FH65" s="782"/>
      <c r="FI65" s="782"/>
      <c r="FJ65" s="782"/>
      <c r="FK65" s="782"/>
      <c r="FL65" s="782"/>
      <c r="FM65" s="782"/>
      <c r="FN65" s="782"/>
      <c r="FO65" s="782"/>
      <c r="FP65" s="782"/>
      <c r="FQ65" s="782"/>
      <c r="FR65" s="782"/>
      <c r="FS65" s="782"/>
      <c r="FT65" s="782"/>
      <c r="FU65" s="782"/>
      <c r="FV65" s="782"/>
      <c r="FW65" s="782"/>
      <c r="FX65" s="782"/>
      <c r="FY65" s="782"/>
      <c r="FZ65" s="782"/>
      <c r="GA65" s="782"/>
      <c r="GB65" s="782"/>
      <c r="GC65" s="782"/>
      <c r="GD65" s="782"/>
      <c r="GE65" s="782"/>
      <c r="GF65" s="782"/>
      <c r="GG65" s="782"/>
      <c r="GH65" s="782"/>
      <c r="GI65" s="782"/>
      <c r="GJ65" s="782"/>
      <c r="GK65" s="782"/>
      <c r="GL65" s="782"/>
      <c r="GM65" s="782"/>
      <c r="GN65" s="782"/>
      <c r="GO65" s="782"/>
      <c r="GP65" s="782"/>
      <c r="GQ65" s="782"/>
      <c r="GR65" s="782"/>
      <c r="GS65" s="782"/>
      <c r="GT65" s="782"/>
      <c r="GU65" s="782"/>
      <c r="GV65" s="782"/>
      <c r="GW65" s="782"/>
      <c r="GX65" s="782"/>
      <c r="GY65" s="782"/>
      <c r="GZ65" s="782"/>
      <c r="HA65" s="782"/>
      <c r="HB65" s="782"/>
      <c r="HC65" s="782"/>
      <c r="HD65" s="782"/>
      <c r="HE65" s="782"/>
      <c r="HF65" s="782"/>
      <c r="HG65" s="782"/>
      <c r="HH65" s="782"/>
      <c r="HI65" s="782"/>
      <c r="HJ65" s="782"/>
      <c r="HK65" s="782"/>
      <c r="HL65" s="782"/>
      <c r="HM65" s="782"/>
      <c r="HN65" s="782"/>
      <c r="HO65" s="782"/>
      <c r="HP65" s="782"/>
      <c r="HQ65" s="782"/>
      <c r="HR65" s="782"/>
      <c r="HS65" s="782"/>
      <c r="HT65" s="782"/>
      <c r="HU65" s="782"/>
      <c r="HV65" s="782"/>
      <c r="HW65" s="782"/>
      <c r="HX65" s="782"/>
      <c r="HY65" s="782"/>
      <c r="HZ65" s="782"/>
      <c r="IA65" s="782"/>
      <c r="IB65" s="782"/>
      <c r="IC65" s="782"/>
      <c r="ID65" s="782"/>
      <c r="IE65" s="782"/>
      <c r="IF65" s="782"/>
      <c r="IG65" s="782"/>
      <c r="IH65" s="782"/>
      <c r="II65" s="782"/>
      <c r="IJ65" s="782"/>
      <c r="IK65" s="782"/>
      <c r="IL65" s="782"/>
      <c r="IM65" s="782"/>
      <c r="IN65" s="782"/>
      <c r="IO65" s="782"/>
      <c r="IP65" s="782"/>
      <c r="IQ65" s="782"/>
      <c r="IR65" s="782"/>
      <c r="IS65" s="782"/>
      <c r="IT65" s="782"/>
      <c r="IU65" s="782"/>
      <c r="IV65" s="782"/>
      <c r="IW65" s="782"/>
      <c r="IX65" s="782"/>
      <c r="IY65" s="782"/>
      <c r="IZ65" s="782"/>
      <c r="JA65" s="782"/>
      <c r="JB65" s="782"/>
      <c r="JC65" s="782"/>
      <c r="JD65" s="782"/>
      <c r="JE65" s="782"/>
      <c r="JF65" s="782"/>
      <c r="JG65" s="782"/>
      <c r="JH65" s="782"/>
      <c r="JI65" s="782"/>
      <c r="JJ65" s="782"/>
      <c r="JK65" s="782"/>
      <c r="JL65" s="782"/>
      <c r="JM65" s="782"/>
      <c r="JN65" s="782"/>
      <c r="JO65" s="782"/>
      <c r="JP65" s="782"/>
      <c r="JQ65" s="782"/>
      <c r="JR65" s="782"/>
      <c r="JS65" s="782"/>
      <c r="JT65" s="782"/>
      <c r="JU65" s="782"/>
      <c r="JV65" s="782"/>
      <c r="JW65" s="782"/>
      <c r="JX65" s="782"/>
      <c r="JY65" s="782"/>
      <c r="JZ65" s="782"/>
      <c r="KA65" s="782"/>
      <c r="KB65" s="782"/>
      <c r="KC65" s="782"/>
      <c r="KD65" s="782"/>
      <c r="KE65" s="782"/>
      <c r="KF65" s="782"/>
      <c r="KG65" s="782"/>
      <c r="KH65" s="782"/>
      <c r="KI65" s="782"/>
      <c r="KJ65" s="782"/>
      <c r="KK65" s="782"/>
      <c r="KL65" s="782"/>
      <c r="KM65" s="782"/>
      <c r="KN65" s="782"/>
      <c r="KO65" s="782"/>
      <c r="KP65" s="782"/>
      <c r="KQ65" s="782"/>
      <c r="KR65" s="782"/>
      <c r="KS65" s="782"/>
      <c r="KT65" s="782"/>
      <c r="KU65" s="782"/>
      <c r="KV65" s="782"/>
      <c r="KW65" s="782"/>
      <c r="KX65" s="782"/>
      <c r="KY65" s="782"/>
      <c r="KZ65" s="782"/>
      <c r="LA65" s="782"/>
      <c r="LB65" s="782"/>
      <c r="LC65" s="782"/>
      <c r="LD65" s="782"/>
      <c r="LE65" s="782"/>
      <c r="LF65" s="782"/>
      <c r="LG65" s="782"/>
      <c r="LH65" s="782"/>
      <c r="LI65" s="782"/>
      <c r="LJ65" s="782"/>
      <c r="LK65" s="782"/>
      <c r="LL65" s="782"/>
      <c r="LM65" s="782"/>
      <c r="LN65" s="782"/>
      <c r="LO65" s="782"/>
      <c r="LP65" s="782"/>
      <c r="LQ65" s="782"/>
      <c r="LR65" s="782"/>
      <c r="LS65" s="782"/>
      <c r="LT65" s="782"/>
      <c r="LU65" s="782"/>
      <c r="LV65" s="782"/>
      <c r="LW65" s="782"/>
      <c r="LX65" s="782"/>
      <c r="LY65" s="782"/>
      <c r="LZ65" s="782"/>
      <c r="MA65" s="782"/>
      <c r="MB65" s="782"/>
      <c r="MC65" s="782"/>
      <c r="MD65" s="782"/>
      <c r="ME65" s="782"/>
      <c r="MF65" s="782"/>
      <c r="MG65" s="782"/>
      <c r="MH65" s="782"/>
      <c r="MI65" s="782"/>
      <c r="MJ65" s="782"/>
      <c r="MK65" s="782"/>
      <c r="ML65" s="782"/>
      <c r="MM65" s="782"/>
      <c r="MN65" s="782"/>
      <c r="MO65" s="782"/>
      <c r="MP65" s="782"/>
      <c r="MQ65" s="782"/>
      <c r="MR65" s="782"/>
      <c r="MS65" s="782"/>
      <c r="MT65" s="782"/>
      <c r="MU65" s="782"/>
      <c r="MV65" s="782"/>
      <c r="MW65" s="782"/>
      <c r="MX65" s="782"/>
      <c r="MY65" s="782"/>
      <c r="MZ65" s="782"/>
      <c r="NA65" s="782"/>
      <c r="NB65" s="782"/>
      <c r="NC65" s="782"/>
      <c r="ND65" s="782"/>
      <c r="NE65" s="782"/>
      <c r="NF65" s="782"/>
      <c r="NG65" s="782"/>
      <c r="NH65" s="782"/>
      <c r="NI65" s="782"/>
      <c r="NJ65" s="782"/>
      <c r="NK65" s="782"/>
      <c r="NL65" s="782"/>
      <c r="NM65" s="782"/>
      <c r="NN65" s="782"/>
      <c r="NO65" s="782"/>
      <c r="NP65" s="782"/>
      <c r="NQ65" s="782"/>
      <c r="NR65" s="782"/>
      <c r="NS65" s="782"/>
      <c r="NT65" s="782"/>
      <c r="NU65" s="782"/>
      <c r="NV65" s="782"/>
      <c r="NW65" s="782"/>
      <c r="NX65" s="782"/>
      <c r="NY65" s="782"/>
      <c r="NZ65" s="782"/>
      <c r="OA65" s="782"/>
      <c r="OB65" s="782"/>
      <c r="OC65" s="782"/>
      <c r="OD65" s="782"/>
      <c r="OE65" s="782"/>
      <c r="OF65" s="782"/>
      <c r="OG65" s="782"/>
      <c r="OH65" s="782"/>
      <c r="OI65" s="782"/>
      <c r="OJ65" s="782"/>
      <c r="OK65" s="782"/>
      <c r="OL65" s="782"/>
      <c r="OM65" s="782"/>
      <c r="ON65" s="782"/>
      <c r="OO65" s="782"/>
      <c r="OP65" s="782"/>
      <c r="OQ65" s="782"/>
      <c r="OR65" s="782"/>
      <c r="OS65" s="782"/>
      <c r="OT65" s="782"/>
      <c r="OU65" s="782"/>
      <c r="OV65" s="782"/>
      <c r="OW65" s="782"/>
      <c r="OX65" s="782"/>
      <c r="OY65" s="782"/>
      <c r="OZ65" s="782"/>
      <c r="PA65" s="782"/>
      <c r="PB65" s="782"/>
      <c r="PC65" s="782"/>
      <c r="PD65" s="782"/>
      <c r="PE65" s="782"/>
      <c r="PF65" s="782"/>
      <c r="PG65" s="782"/>
      <c r="PH65" s="782"/>
      <c r="PI65" s="782"/>
      <c r="PJ65" s="782"/>
      <c r="PK65" s="782"/>
      <c r="PL65" s="782"/>
      <c r="PM65" s="782"/>
      <c r="PN65" s="782"/>
      <c r="PO65" s="782"/>
      <c r="PP65" s="782"/>
      <c r="PQ65" s="782"/>
      <c r="PR65" s="782"/>
      <c r="PS65" s="782"/>
      <c r="PT65" s="782"/>
      <c r="PU65" s="782"/>
      <c r="PV65" s="782"/>
      <c r="PW65" s="782"/>
      <c r="PX65" s="782"/>
      <c r="PY65" s="782"/>
      <c r="PZ65" s="782"/>
      <c r="QA65" s="782"/>
      <c r="QB65" s="782"/>
      <c r="QC65" s="782"/>
      <c r="QD65" s="782"/>
      <c r="QE65" s="782"/>
      <c r="QF65" s="782"/>
      <c r="QG65" s="782"/>
      <c r="QH65" s="782"/>
      <c r="QI65" s="782"/>
      <c r="QJ65" s="782"/>
      <c r="QK65" s="782"/>
      <c r="QL65" s="782"/>
      <c r="QM65" s="782"/>
      <c r="QN65" s="782"/>
      <c r="QO65" s="782"/>
      <c r="QP65" s="782"/>
      <c r="QQ65" s="782"/>
      <c r="QR65" s="782"/>
      <c r="QS65" s="782"/>
      <c r="QT65" s="782"/>
      <c r="QU65" s="782"/>
      <c r="QV65" s="782"/>
      <c r="QW65" s="782"/>
      <c r="QX65" s="782"/>
      <c r="QY65" s="782"/>
      <c r="QZ65" s="782"/>
      <c r="RA65" s="782"/>
      <c r="RB65" s="782"/>
      <c r="RC65" s="782"/>
      <c r="RD65" s="782"/>
      <c r="RE65" s="782"/>
      <c r="RF65" s="782"/>
      <c r="RG65" s="782"/>
      <c r="RH65" s="782"/>
      <c r="RI65" s="782"/>
      <c r="RJ65" s="782"/>
      <c r="RK65" s="782"/>
      <c r="RL65" s="782"/>
      <c r="RM65" s="782"/>
      <c r="RN65" s="782"/>
      <c r="RO65" s="782"/>
      <c r="RP65" s="782"/>
      <c r="RQ65" s="782"/>
      <c r="RR65" s="782"/>
      <c r="RS65" s="782"/>
      <c r="RT65" s="782"/>
      <c r="RU65" s="782"/>
      <c r="RV65" s="782"/>
      <c r="RW65" s="782"/>
      <c r="RX65" s="782"/>
    </row>
    <row r="66" spans="1:492" s="143" customFormat="1">
      <c r="A66" s="782"/>
      <c r="B66" s="782"/>
      <c r="C66" s="782"/>
      <c r="D66" s="782"/>
      <c r="E66" s="782"/>
      <c r="F66" s="782"/>
      <c r="G66" s="782"/>
      <c r="H66" s="782"/>
      <c r="I66" s="782"/>
      <c r="J66" s="782"/>
      <c r="K66" s="782"/>
      <c r="L66" s="782"/>
      <c r="M66" s="782"/>
      <c r="N66" s="782"/>
      <c r="O66" s="782"/>
      <c r="P66" s="782"/>
      <c r="Q66" s="782"/>
      <c r="R66" s="782"/>
      <c r="S66" s="782"/>
      <c r="T66" s="782"/>
      <c r="U66" s="782"/>
      <c r="V66" s="782"/>
      <c r="W66" s="782"/>
      <c r="X66" s="782"/>
      <c r="Y66" s="782"/>
      <c r="Z66" s="782"/>
      <c r="AA66" s="782"/>
      <c r="AB66" s="782"/>
      <c r="AC66" s="782"/>
      <c r="AD66" s="782"/>
      <c r="AE66" s="782"/>
      <c r="AF66" s="782"/>
      <c r="AG66" s="782"/>
      <c r="AH66" s="782"/>
      <c r="AI66" s="782"/>
      <c r="AJ66" s="782"/>
      <c r="AK66" s="782"/>
      <c r="AL66" s="782"/>
      <c r="AM66" s="785"/>
      <c r="AN66" s="785"/>
      <c r="AO66" s="785"/>
      <c r="AP66" s="785"/>
      <c r="AQ66" s="785"/>
      <c r="AR66" s="785"/>
      <c r="AS66" s="785"/>
      <c r="AT66" s="785"/>
      <c r="AU66" s="785"/>
      <c r="AV66" s="785"/>
      <c r="AW66" s="785"/>
      <c r="AX66" s="785"/>
      <c r="AY66" s="785"/>
      <c r="AZ66" s="785"/>
      <c r="BA66" s="785"/>
      <c r="BB66" s="785"/>
      <c r="BC66" s="785"/>
      <c r="BD66" s="785"/>
      <c r="BE66" s="785"/>
      <c r="BF66" s="785"/>
      <c r="BG66" s="785"/>
      <c r="BH66" s="785"/>
      <c r="BI66" s="785"/>
      <c r="BJ66" s="785"/>
      <c r="BK66" s="785"/>
      <c r="BL66" s="785"/>
      <c r="BM66" s="785"/>
      <c r="BN66" s="785"/>
      <c r="BO66" s="785"/>
      <c r="BP66" s="785"/>
      <c r="BQ66" s="785"/>
      <c r="BR66" s="785"/>
      <c r="BS66" s="785"/>
      <c r="BT66" s="785"/>
      <c r="BU66" s="785"/>
      <c r="BV66" s="785"/>
      <c r="BW66" s="785"/>
      <c r="BX66" s="785"/>
      <c r="BY66" s="785"/>
      <c r="BZ66" s="785"/>
      <c r="CA66" s="782"/>
      <c r="CB66" s="782"/>
      <c r="CC66" s="782"/>
      <c r="CD66" s="782"/>
      <c r="CE66" s="782"/>
      <c r="CF66" s="782"/>
      <c r="CG66" s="782"/>
      <c r="CH66" s="782"/>
      <c r="CI66" s="782"/>
      <c r="CJ66" s="782"/>
      <c r="CK66" s="782"/>
      <c r="CL66" s="782"/>
      <c r="CM66" s="782"/>
      <c r="CN66" s="782"/>
      <c r="CO66" s="782"/>
      <c r="CP66" s="782"/>
      <c r="CQ66" s="782"/>
      <c r="CR66" s="782"/>
      <c r="CS66" s="782"/>
      <c r="CT66" s="782"/>
      <c r="CU66" s="782"/>
      <c r="CV66" s="782"/>
      <c r="CW66" s="782"/>
      <c r="CX66" s="782"/>
      <c r="CY66" s="782"/>
      <c r="CZ66" s="782"/>
      <c r="DA66" s="782"/>
      <c r="DB66" s="782"/>
      <c r="DC66" s="782"/>
      <c r="DD66" s="782"/>
      <c r="DE66" s="782"/>
      <c r="DF66" s="782"/>
      <c r="DG66" s="782"/>
      <c r="DH66" s="782"/>
      <c r="DI66" s="782"/>
      <c r="DJ66" s="782"/>
      <c r="DK66" s="782"/>
      <c r="DL66" s="782"/>
      <c r="DM66" s="782"/>
      <c r="DN66" s="782"/>
      <c r="DO66" s="782"/>
      <c r="DP66" s="782"/>
      <c r="DQ66" s="782"/>
      <c r="DR66" s="782"/>
      <c r="DS66" s="782"/>
      <c r="DT66" s="782"/>
      <c r="DU66" s="782"/>
      <c r="DV66" s="782"/>
      <c r="DW66" s="782"/>
      <c r="DX66" s="782"/>
      <c r="DY66" s="782"/>
      <c r="DZ66" s="782"/>
      <c r="EA66" s="782"/>
      <c r="EB66" s="782"/>
      <c r="EC66" s="782"/>
      <c r="ED66" s="782"/>
      <c r="EE66" s="782"/>
      <c r="EF66" s="782"/>
      <c r="EG66" s="782"/>
      <c r="EH66" s="782"/>
      <c r="EI66" s="782"/>
      <c r="EJ66" s="782"/>
      <c r="EK66" s="782"/>
      <c r="EL66" s="782"/>
      <c r="EM66" s="782"/>
      <c r="EN66" s="782"/>
      <c r="EO66" s="782"/>
      <c r="EP66" s="782"/>
      <c r="EQ66" s="782"/>
      <c r="ER66" s="782"/>
      <c r="ES66" s="782"/>
      <c r="ET66" s="782"/>
      <c r="EU66" s="782"/>
      <c r="EV66" s="782"/>
      <c r="EW66" s="782"/>
      <c r="EX66" s="782"/>
      <c r="EY66" s="782"/>
      <c r="EZ66" s="782"/>
      <c r="FA66" s="782"/>
      <c r="FB66" s="782"/>
      <c r="FC66" s="782"/>
      <c r="FD66" s="782"/>
      <c r="FE66" s="782"/>
      <c r="FF66" s="782"/>
      <c r="FG66" s="782"/>
      <c r="FH66" s="782"/>
      <c r="FI66" s="782"/>
      <c r="FJ66" s="782"/>
      <c r="FK66" s="782"/>
      <c r="FL66" s="782"/>
      <c r="FM66" s="782"/>
      <c r="FN66" s="782"/>
      <c r="FO66" s="782"/>
      <c r="FP66" s="782"/>
      <c r="FQ66" s="782"/>
      <c r="FR66" s="782"/>
      <c r="FS66" s="782"/>
      <c r="FT66" s="782"/>
      <c r="FU66" s="782"/>
      <c r="FV66" s="782"/>
      <c r="FW66" s="782"/>
      <c r="FX66" s="782"/>
      <c r="FY66" s="782"/>
      <c r="FZ66" s="782"/>
      <c r="GA66" s="782"/>
      <c r="GB66" s="782"/>
      <c r="GC66" s="782"/>
      <c r="GD66" s="782"/>
      <c r="GE66" s="782"/>
      <c r="GF66" s="782"/>
      <c r="GG66" s="782"/>
      <c r="GH66" s="782"/>
      <c r="GI66" s="782"/>
      <c r="GJ66" s="782"/>
      <c r="GK66" s="782"/>
      <c r="GL66" s="782"/>
      <c r="GM66" s="782"/>
      <c r="GN66" s="782"/>
      <c r="GO66" s="782"/>
      <c r="GP66" s="782"/>
      <c r="GQ66" s="782"/>
      <c r="GR66" s="782"/>
      <c r="GS66" s="782"/>
      <c r="GT66" s="782"/>
      <c r="GU66" s="782"/>
      <c r="GV66" s="782"/>
      <c r="GW66" s="782"/>
      <c r="GX66" s="782"/>
      <c r="GY66" s="782"/>
      <c r="GZ66" s="782"/>
      <c r="HA66" s="782"/>
      <c r="HB66" s="782"/>
      <c r="HC66" s="782"/>
      <c r="HD66" s="782"/>
      <c r="HE66" s="782"/>
      <c r="HF66" s="782"/>
      <c r="HG66" s="782"/>
      <c r="HH66" s="782"/>
      <c r="HI66" s="782"/>
      <c r="HJ66" s="782"/>
      <c r="HK66" s="782"/>
      <c r="HL66" s="782"/>
      <c r="HM66" s="782"/>
      <c r="HN66" s="782"/>
      <c r="HO66" s="782"/>
      <c r="HP66" s="782"/>
      <c r="HQ66" s="782"/>
      <c r="HR66" s="782"/>
      <c r="HS66" s="782"/>
      <c r="HT66" s="782"/>
      <c r="HU66" s="782"/>
      <c r="HV66" s="782"/>
      <c r="HW66" s="782"/>
      <c r="HX66" s="782"/>
      <c r="HY66" s="782"/>
      <c r="HZ66" s="782"/>
      <c r="IA66" s="782"/>
      <c r="IB66" s="782"/>
      <c r="IC66" s="782"/>
      <c r="ID66" s="782"/>
      <c r="IE66" s="782"/>
      <c r="IF66" s="782"/>
      <c r="IG66" s="782"/>
      <c r="IH66" s="782"/>
      <c r="II66" s="782"/>
      <c r="IJ66" s="782"/>
      <c r="IK66" s="782"/>
      <c r="IL66" s="782"/>
      <c r="IM66" s="782"/>
      <c r="IN66" s="782"/>
      <c r="IO66" s="782"/>
      <c r="IP66" s="782"/>
      <c r="IQ66" s="782"/>
      <c r="IR66" s="782"/>
      <c r="IS66" s="782"/>
      <c r="IT66" s="782"/>
      <c r="IU66" s="782"/>
      <c r="IV66" s="782"/>
      <c r="IW66" s="782"/>
      <c r="IX66" s="782"/>
      <c r="IY66" s="782"/>
      <c r="IZ66" s="782"/>
      <c r="JA66" s="782"/>
      <c r="JB66" s="782"/>
      <c r="JC66" s="782"/>
      <c r="JD66" s="782"/>
      <c r="JE66" s="782"/>
      <c r="JF66" s="782"/>
      <c r="JG66" s="782"/>
      <c r="JH66" s="782"/>
      <c r="JI66" s="782"/>
      <c r="JJ66" s="782"/>
      <c r="JK66" s="782"/>
      <c r="JL66" s="782"/>
      <c r="JM66" s="782"/>
      <c r="JN66" s="782"/>
      <c r="JO66" s="782"/>
      <c r="JP66" s="782"/>
      <c r="JQ66" s="782"/>
      <c r="JR66" s="782"/>
      <c r="JS66" s="782"/>
      <c r="JT66" s="782"/>
      <c r="JU66" s="782"/>
      <c r="JV66" s="782"/>
      <c r="JW66" s="782"/>
      <c r="JX66" s="782"/>
      <c r="JY66" s="782"/>
      <c r="JZ66" s="782"/>
      <c r="KA66" s="782"/>
      <c r="KB66" s="782"/>
      <c r="KC66" s="782"/>
      <c r="KD66" s="782"/>
      <c r="KE66" s="782"/>
      <c r="KF66" s="782"/>
      <c r="KG66" s="782"/>
      <c r="KH66" s="782"/>
      <c r="KI66" s="782"/>
      <c r="KJ66" s="782"/>
      <c r="KK66" s="782"/>
      <c r="KL66" s="782"/>
      <c r="KM66" s="782"/>
      <c r="KN66" s="782"/>
      <c r="KO66" s="782"/>
      <c r="KP66" s="782"/>
      <c r="KQ66" s="782"/>
      <c r="KR66" s="782"/>
      <c r="KS66" s="782"/>
      <c r="KT66" s="782"/>
      <c r="KU66" s="782"/>
      <c r="KV66" s="782"/>
      <c r="KW66" s="782"/>
      <c r="KX66" s="782"/>
      <c r="KY66" s="782"/>
      <c r="KZ66" s="782"/>
      <c r="LA66" s="782"/>
      <c r="LB66" s="782"/>
      <c r="LC66" s="782"/>
      <c r="LD66" s="782"/>
      <c r="LE66" s="782"/>
      <c r="LF66" s="782"/>
      <c r="LG66" s="782"/>
      <c r="LH66" s="782"/>
      <c r="LI66" s="782"/>
      <c r="LJ66" s="782"/>
      <c r="LK66" s="782"/>
      <c r="LL66" s="782"/>
      <c r="LM66" s="782"/>
      <c r="LN66" s="782"/>
      <c r="LO66" s="782"/>
      <c r="LP66" s="782"/>
      <c r="LQ66" s="782"/>
      <c r="LR66" s="782"/>
      <c r="LS66" s="782"/>
      <c r="LT66" s="782"/>
      <c r="LU66" s="782"/>
      <c r="LV66" s="782"/>
      <c r="LW66" s="782"/>
      <c r="LX66" s="782"/>
      <c r="LY66" s="782"/>
      <c r="LZ66" s="782"/>
      <c r="MA66" s="782"/>
      <c r="MB66" s="782"/>
      <c r="MC66" s="782"/>
      <c r="MD66" s="782"/>
      <c r="ME66" s="782"/>
      <c r="MF66" s="782"/>
      <c r="MG66" s="782"/>
      <c r="MH66" s="782"/>
      <c r="MI66" s="782"/>
      <c r="MJ66" s="782"/>
      <c r="MK66" s="782"/>
      <c r="ML66" s="782"/>
      <c r="MM66" s="782"/>
      <c r="MN66" s="782"/>
      <c r="MO66" s="782"/>
      <c r="MP66" s="782"/>
      <c r="MQ66" s="782"/>
      <c r="MR66" s="782"/>
      <c r="MS66" s="782"/>
      <c r="MT66" s="782"/>
      <c r="MU66" s="782"/>
      <c r="MV66" s="782"/>
      <c r="MW66" s="782"/>
      <c r="MX66" s="782"/>
      <c r="MY66" s="782"/>
      <c r="MZ66" s="782"/>
      <c r="NA66" s="782"/>
      <c r="NB66" s="782"/>
      <c r="NC66" s="782"/>
      <c r="ND66" s="782"/>
      <c r="NE66" s="782"/>
      <c r="NF66" s="782"/>
      <c r="NG66" s="782"/>
      <c r="NH66" s="782"/>
      <c r="NI66" s="782"/>
      <c r="NJ66" s="782"/>
      <c r="NK66" s="782"/>
      <c r="NL66" s="782"/>
      <c r="NM66" s="782"/>
      <c r="NN66" s="782"/>
      <c r="NO66" s="782"/>
      <c r="NP66" s="782"/>
      <c r="NQ66" s="782"/>
      <c r="NR66" s="782"/>
      <c r="NS66" s="782"/>
      <c r="NT66" s="782"/>
      <c r="NU66" s="782"/>
      <c r="NV66" s="782"/>
      <c r="NW66" s="782"/>
      <c r="NX66" s="782"/>
      <c r="NY66" s="782"/>
      <c r="NZ66" s="782"/>
      <c r="OA66" s="782"/>
      <c r="OB66" s="782"/>
      <c r="OC66" s="782"/>
      <c r="OD66" s="782"/>
      <c r="OE66" s="782"/>
      <c r="OF66" s="782"/>
      <c r="OG66" s="782"/>
      <c r="OH66" s="782"/>
      <c r="OI66" s="782"/>
      <c r="OJ66" s="782"/>
      <c r="OK66" s="782"/>
      <c r="OL66" s="782"/>
      <c r="OM66" s="782"/>
      <c r="ON66" s="782"/>
      <c r="OO66" s="782"/>
      <c r="OP66" s="782"/>
      <c r="OQ66" s="782"/>
      <c r="OR66" s="782"/>
      <c r="OS66" s="782"/>
      <c r="OT66" s="782"/>
      <c r="OU66" s="782"/>
      <c r="OV66" s="782"/>
      <c r="OW66" s="782"/>
      <c r="OX66" s="782"/>
      <c r="OY66" s="782"/>
      <c r="OZ66" s="782"/>
      <c r="PA66" s="782"/>
      <c r="PB66" s="782"/>
      <c r="PC66" s="782"/>
      <c r="PD66" s="782"/>
      <c r="PE66" s="782"/>
      <c r="PF66" s="782"/>
      <c r="PG66" s="782"/>
      <c r="PH66" s="782"/>
      <c r="PI66" s="782"/>
      <c r="PJ66" s="782"/>
      <c r="PK66" s="782"/>
      <c r="PL66" s="782"/>
      <c r="PM66" s="782"/>
      <c r="PN66" s="782"/>
      <c r="PO66" s="782"/>
      <c r="PP66" s="782"/>
      <c r="PQ66" s="782"/>
      <c r="PR66" s="782"/>
      <c r="PS66" s="782"/>
      <c r="PT66" s="782"/>
      <c r="PU66" s="782"/>
      <c r="PV66" s="782"/>
      <c r="PW66" s="782"/>
      <c r="PX66" s="782"/>
      <c r="PY66" s="782"/>
      <c r="PZ66" s="782"/>
      <c r="QA66" s="782"/>
      <c r="QB66" s="782"/>
      <c r="QC66" s="782"/>
      <c r="QD66" s="782"/>
      <c r="QE66" s="782"/>
      <c r="QF66" s="782"/>
      <c r="QG66" s="782"/>
      <c r="QH66" s="782"/>
      <c r="QI66" s="782"/>
      <c r="QJ66" s="782"/>
      <c r="QK66" s="782"/>
      <c r="QL66" s="782"/>
      <c r="QM66" s="782"/>
      <c r="QN66" s="782"/>
      <c r="QO66" s="782"/>
      <c r="QP66" s="782"/>
      <c r="QQ66" s="782"/>
      <c r="QR66" s="782"/>
      <c r="QS66" s="782"/>
      <c r="QT66" s="782"/>
      <c r="QU66" s="782"/>
      <c r="QV66" s="782"/>
      <c r="QW66" s="782"/>
      <c r="QX66" s="782"/>
      <c r="QY66" s="782"/>
      <c r="QZ66" s="782"/>
      <c r="RA66" s="782"/>
      <c r="RB66" s="782"/>
      <c r="RC66" s="782"/>
      <c r="RD66" s="782"/>
      <c r="RE66" s="782"/>
      <c r="RF66" s="782"/>
      <c r="RG66" s="782"/>
      <c r="RH66" s="782"/>
      <c r="RI66" s="782"/>
      <c r="RJ66" s="782"/>
      <c r="RK66" s="782"/>
      <c r="RL66" s="782"/>
      <c r="RM66" s="782"/>
      <c r="RN66" s="782"/>
      <c r="RO66" s="782"/>
      <c r="RP66" s="782"/>
      <c r="RQ66" s="782"/>
      <c r="RR66" s="782"/>
      <c r="RS66" s="782"/>
      <c r="RT66" s="782"/>
      <c r="RU66" s="782"/>
      <c r="RV66" s="782"/>
      <c r="RW66" s="782"/>
      <c r="RX66" s="782"/>
    </row>
    <row r="67" spans="1:492" s="143" customFormat="1">
      <c r="A67" s="782"/>
      <c r="B67" s="782"/>
      <c r="C67" s="782"/>
      <c r="D67" s="782"/>
      <c r="E67" s="782"/>
      <c r="F67" s="782"/>
      <c r="G67" s="782"/>
      <c r="H67" s="782"/>
      <c r="I67" s="782"/>
      <c r="J67" s="782"/>
      <c r="K67" s="782"/>
      <c r="L67" s="782"/>
      <c r="M67" s="782"/>
      <c r="N67" s="782"/>
      <c r="O67" s="782"/>
      <c r="P67" s="782"/>
      <c r="Q67" s="782"/>
      <c r="R67" s="782"/>
      <c r="S67" s="782"/>
      <c r="T67" s="782"/>
      <c r="U67" s="782"/>
      <c r="V67" s="782"/>
      <c r="W67" s="782"/>
      <c r="X67" s="782"/>
      <c r="Y67" s="782"/>
      <c r="Z67" s="782"/>
      <c r="AA67" s="782"/>
      <c r="AB67" s="782"/>
      <c r="AC67" s="782"/>
      <c r="AD67" s="782"/>
      <c r="AE67" s="782"/>
      <c r="AF67" s="782"/>
      <c r="AG67" s="782"/>
      <c r="AH67" s="782"/>
      <c r="AI67" s="782"/>
      <c r="AJ67" s="782"/>
      <c r="AK67" s="782"/>
      <c r="AL67" s="782"/>
      <c r="AM67" s="785"/>
      <c r="AN67" s="785"/>
      <c r="AO67" s="785"/>
      <c r="AP67" s="785"/>
      <c r="AQ67" s="785"/>
      <c r="AR67" s="785"/>
      <c r="AS67" s="785"/>
      <c r="AT67" s="785"/>
      <c r="AU67" s="785"/>
      <c r="AV67" s="785"/>
      <c r="AW67" s="785"/>
      <c r="AX67" s="785"/>
      <c r="AY67" s="785"/>
      <c r="AZ67" s="785"/>
      <c r="BA67" s="785"/>
      <c r="BB67" s="785"/>
      <c r="BC67" s="785"/>
      <c r="BD67" s="785"/>
      <c r="BE67" s="785"/>
      <c r="BF67" s="785"/>
      <c r="BG67" s="785"/>
      <c r="BH67" s="785"/>
      <c r="BI67" s="785"/>
      <c r="BJ67" s="785"/>
      <c r="BK67" s="785"/>
      <c r="BL67" s="785"/>
      <c r="BM67" s="785"/>
      <c r="BN67" s="785"/>
      <c r="BO67" s="785"/>
      <c r="BP67" s="785"/>
      <c r="BQ67" s="785"/>
      <c r="BR67" s="785"/>
      <c r="BS67" s="785"/>
      <c r="BT67" s="785"/>
      <c r="BU67" s="785"/>
      <c r="BV67" s="785"/>
      <c r="BW67" s="785"/>
      <c r="BX67" s="785"/>
      <c r="BY67" s="785"/>
      <c r="BZ67" s="785"/>
      <c r="CA67" s="782"/>
      <c r="CB67" s="782"/>
      <c r="CC67" s="782"/>
      <c r="CD67" s="782"/>
      <c r="CE67" s="782"/>
      <c r="CF67" s="782"/>
      <c r="CG67" s="782"/>
      <c r="CH67" s="782"/>
      <c r="CI67" s="782"/>
      <c r="CJ67" s="782"/>
      <c r="CK67" s="782"/>
      <c r="CL67" s="782"/>
      <c r="CM67" s="782"/>
      <c r="CN67" s="782"/>
      <c r="CO67" s="782"/>
      <c r="CP67" s="782"/>
      <c r="CQ67" s="782"/>
      <c r="CR67" s="782"/>
      <c r="CS67" s="782"/>
      <c r="CT67" s="782"/>
      <c r="CU67" s="782"/>
      <c r="CV67" s="782"/>
      <c r="CW67" s="782"/>
      <c r="CX67" s="782"/>
      <c r="CY67" s="782"/>
      <c r="CZ67" s="782"/>
      <c r="DA67" s="782"/>
      <c r="DB67" s="782"/>
      <c r="DC67" s="782"/>
      <c r="DD67" s="782"/>
      <c r="DE67" s="782"/>
      <c r="DF67" s="782"/>
      <c r="DG67" s="782"/>
      <c r="DH67" s="782"/>
      <c r="DI67" s="782"/>
      <c r="DJ67" s="782"/>
      <c r="DK67" s="782"/>
      <c r="DL67" s="782"/>
      <c r="DM67" s="782"/>
      <c r="DN67" s="782"/>
      <c r="DO67" s="782"/>
      <c r="DP67" s="782"/>
      <c r="DQ67" s="782"/>
      <c r="DR67" s="782"/>
      <c r="DS67" s="782"/>
      <c r="DT67" s="782"/>
      <c r="DU67" s="782"/>
      <c r="DV67" s="782"/>
      <c r="DW67" s="782"/>
      <c r="DX67" s="782"/>
      <c r="DY67" s="782"/>
      <c r="DZ67" s="782"/>
      <c r="EA67" s="782"/>
      <c r="EB67" s="782"/>
      <c r="EC67" s="782"/>
      <c r="ED67" s="782"/>
      <c r="EE67" s="782"/>
      <c r="EF67" s="782"/>
      <c r="EG67" s="782"/>
      <c r="EH67" s="782"/>
      <c r="EI67" s="782"/>
      <c r="EJ67" s="782"/>
      <c r="EK67" s="782"/>
      <c r="EL67" s="782"/>
      <c r="EM67" s="782"/>
      <c r="EN67" s="782"/>
      <c r="EO67" s="782"/>
      <c r="EP67" s="782"/>
      <c r="EQ67" s="782"/>
      <c r="ER67" s="782"/>
      <c r="ES67" s="782"/>
      <c r="ET67" s="782"/>
      <c r="EU67" s="782"/>
      <c r="EV67" s="782"/>
      <c r="EW67" s="782"/>
      <c r="EX67" s="782"/>
      <c r="EY67" s="782"/>
      <c r="EZ67" s="782"/>
      <c r="FA67" s="782"/>
      <c r="FB67" s="782"/>
      <c r="FC67" s="782"/>
      <c r="FD67" s="782"/>
      <c r="FE67" s="782"/>
      <c r="FF67" s="782"/>
      <c r="FG67" s="782"/>
      <c r="FH67" s="782"/>
      <c r="FI67" s="782"/>
      <c r="FJ67" s="782"/>
      <c r="FK67" s="782"/>
      <c r="FL67" s="782"/>
      <c r="FM67" s="782"/>
      <c r="FN67" s="782"/>
      <c r="FO67" s="782"/>
      <c r="FP67" s="782"/>
      <c r="FQ67" s="782"/>
      <c r="FR67" s="782"/>
      <c r="FS67" s="782"/>
      <c r="FT67" s="782"/>
      <c r="FU67" s="782"/>
      <c r="FV67" s="782"/>
      <c r="FW67" s="782"/>
      <c r="FX67" s="782"/>
      <c r="FY67" s="782"/>
      <c r="FZ67" s="782"/>
      <c r="GA67" s="782"/>
      <c r="GB67" s="782"/>
      <c r="GC67" s="782"/>
      <c r="GD67" s="782"/>
      <c r="GE67" s="782"/>
      <c r="GF67" s="782"/>
      <c r="GG67" s="782"/>
      <c r="GH67" s="782"/>
      <c r="GI67" s="782"/>
      <c r="GJ67" s="782"/>
      <c r="GK67" s="782"/>
      <c r="GL67" s="782"/>
      <c r="GM67" s="782"/>
      <c r="GN67" s="782"/>
      <c r="GO67" s="782"/>
      <c r="GP67" s="782"/>
      <c r="GQ67" s="782"/>
      <c r="GR67" s="782"/>
      <c r="GS67" s="782"/>
      <c r="GT67" s="782"/>
      <c r="GU67" s="782"/>
      <c r="GV67" s="782"/>
      <c r="GW67" s="782"/>
      <c r="GX67" s="782"/>
      <c r="GY67" s="782"/>
      <c r="GZ67" s="782"/>
      <c r="HA67" s="782"/>
      <c r="HB67" s="782"/>
      <c r="HC67" s="782"/>
      <c r="HD67" s="782"/>
      <c r="HE67" s="782"/>
      <c r="HF67" s="782"/>
      <c r="HG67" s="782"/>
      <c r="HH67" s="782"/>
      <c r="HI67" s="782"/>
      <c r="HJ67" s="782"/>
      <c r="HK67" s="782"/>
      <c r="HL67" s="782"/>
      <c r="HM67" s="782"/>
      <c r="HN67" s="782"/>
      <c r="HO67" s="782"/>
      <c r="HP67" s="782"/>
      <c r="HQ67" s="782"/>
      <c r="HR67" s="782"/>
      <c r="HS67" s="782"/>
      <c r="HT67" s="782"/>
      <c r="HU67" s="782"/>
      <c r="HV67" s="782"/>
      <c r="HW67" s="782"/>
      <c r="HX67" s="782"/>
      <c r="HY67" s="782"/>
      <c r="HZ67" s="782"/>
      <c r="IA67" s="782"/>
      <c r="IB67" s="782"/>
      <c r="IC67" s="782"/>
      <c r="ID67" s="782"/>
      <c r="IE67" s="782"/>
      <c r="IF67" s="782"/>
      <c r="IG67" s="782"/>
      <c r="IH67" s="782"/>
      <c r="II67" s="782"/>
      <c r="IJ67" s="782"/>
      <c r="IK67" s="782"/>
      <c r="IL67" s="782"/>
      <c r="IM67" s="782"/>
      <c r="IN67" s="782"/>
      <c r="IO67" s="782"/>
      <c r="IP67" s="782"/>
      <c r="IQ67" s="782"/>
      <c r="IR67" s="782"/>
      <c r="IS67" s="782"/>
      <c r="IT67" s="782"/>
      <c r="IU67" s="782"/>
      <c r="IV67" s="782"/>
      <c r="IW67" s="782"/>
      <c r="IX67" s="782"/>
      <c r="IY67" s="782"/>
      <c r="IZ67" s="782"/>
      <c r="JA67" s="782"/>
      <c r="JB67" s="782"/>
      <c r="JC67" s="782"/>
      <c r="JD67" s="782"/>
      <c r="JE67" s="782"/>
      <c r="JF67" s="782"/>
      <c r="JG67" s="782"/>
      <c r="JH67" s="782"/>
      <c r="JI67" s="782"/>
      <c r="JJ67" s="782"/>
      <c r="JK67" s="782"/>
      <c r="JL67" s="782"/>
      <c r="JM67" s="782"/>
      <c r="JN67" s="782"/>
      <c r="JO67" s="782"/>
      <c r="JP67" s="782"/>
      <c r="JQ67" s="782"/>
      <c r="JR67" s="782"/>
      <c r="JS67" s="782"/>
      <c r="JT67" s="782"/>
      <c r="JU67" s="782"/>
      <c r="JV67" s="782"/>
      <c r="JW67" s="782"/>
      <c r="JX67" s="782"/>
      <c r="JY67" s="782"/>
      <c r="JZ67" s="782"/>
      <c r="KA67" s="782"/>
      <c r="KB67" s="782"/>
      <c r="KC67" s="782"/>
      <c r="KD67" s="782"/>
      <c r="KE67" s="782"/>
      <c r="KF67" s="782"/>
      <c r="KG67" s="782"/>
      <c r="KH67" s="782"/>
      <c r="KI67" s="782"/>
      <c r="KJ67" s="782"/>
      <c r="KK67" s="782"/>
      <c r="KL67" s="782"/>
      <c r="KM67" s="782"/>
      <c r="KN67" s="782"/>
      <c r="KO67" s="782"/>
      <c r="KP67" s="782"/>
      <c r="KQ67" s="782"/>
      <c r="KR67" s="782"/>
      <c r="KS67" s="782"/>
      <c r="KT67" s="782"/>
      <c r="KU67" s="782"/>
      <c r="KV67" s="782"/>
      <c r="KW67" s="782"/>
      <c r="KX67" s="782"/>
      <c r="KY67" s="782"/>
      <c r="KZ67" s="782"/>
      <c r="LA67" s="782"/>
      <c r="LB67" s="782"/>
      <c r="LC67" s="782"/>
      <c r="LD67" s="782"/>
      <c r="LE67" s="782"/>
      <c r="LF67" s="782"/>
      <c r="LG67" s="782"/>
      <c r="LH67" s="782"/>
      <c r="LI67" s="782"/>
      <c r="LJ67" s="782"/>
      <c r="LK67" s="782"/>
      <c r="LL67" s="782"/>
      <c r="LM67" s="782"/>
      <c r="LN67" s="782"/>
      <c r="LO67" s="782"/>
      <c r="LP67" s="782"/>
      <c r="LQ67" s="782"/>
      <c r="LR67" s="782"/>
      <c r="LS67" s="782"/>
      <c r="LT67" s="782"/>
      <c r="LU67" s="782"/>
      <c r="LV67" s="782"/>
      <c r="LW67" s="782"/>
      <c r="LX67" s="782"/>
      <c r="LY67" s="782"/>
      <c r="LZ67" s="782"/>
      <c r="MA67" s="782"/>
      <c r="MB67" s="782"/>
      <c r="MC67" s="782"/>
      <c r="MD67" s="782"/>
      <c r="ME67" s="782"/>
      <c r="MF67" s="782"/>
      <c r="MG67" s="782"/>
      <c r="MH67" s="782"/>
      <c r="MI67" s="782"/>
      <c r="MJ67" s="782"/>
      <c r="MK67" s="782"/>
      <c r="ML67" s="782"/>
      <c r="MM67" s="782"/>
      <c r="MN67" s="782"/>
      <c r="MO67" s="782"/>
      <c r="MP67" s="782"/>
      <c r="MQ67" s="782"/>
      <c r="MR67" s="782"/>
      <c r="MS67" s="782"/>
      <c r="MT67" s="782"/>
      <c r="MU67" s="782"/>
      <c r="MV67" s="782"/>
      <c r="MW67" s="782"/>
      <c r="MX67" s="782"/>
      <c r="MY67" s="782"/>
      <c r="MZ67" s="782"/>
      <c r="NA67" s="782"/>
      <c r="NB67" s="782"/>
      <c r="NC67" s="782"/>
      <c r="ND67" s="782"/>
      <c r="NE67" s="782"/>
      <c r="NF67" s="782"/>
      <c r="NG67" s="782"/>
      <c r="NH67" s="782"/>
      <c r="NI67" s="782"/>
      <c r="NJ67" s="782"/>
      <c r="NK67" s="782"/>
      <c r="NL67" s="782"/>
      <c r="NM67" s="782"/>
      <c r="NN67" s="782"/>
      <c r="NO67" s="782"/>
      <c r="NP67" s="782"/>
      <c r="NQ67" s="782"/>
      <c r="NR67" s="782"/>
      <c r="NS67" s="782"/>
      <c r="NT67" s="782"/>
      <c r="NU67" s="782"/>
      <c r="NV67" s="782"/>
      <c r="NW67" s="782"/>
      <c r="NX67" s="782"/>
      <c r="NY67" s="782"/>
      <c r="NZ67" s="782"/>
      <c r="OA67" s="782"/>
      <c r="OB67" s="782"/>
      <c r="OC67" s="782"/>
      <c r="OD67" s="782"/>
      <c r="OE67" s="782"/>
      <c r="OF67" s="782"/>
      <c r="OG67" s="782"/>
      <c r="OH67" s="782"/>
      <c r="OI67" s="782"/>
      <c r="OJ67" s="782"/>
      <c r="OK67" s="782"/>
      <c r="OL67" s="782"/>
      <c r="OM67" s="782"/>
      <c r="ON67" s="782"/>
      <c r="OO67" s="782"/>
      <c r="OP67" s="782"/>
      <c r="OQ67" s="782"/>
      <c r="OR67" s="782"/>
      <c r="OS67" s="782"/>
      <c r="OT67" s="782"/>
      <c r="OU67" s="782"/>
      <c r="OV67" s="782"/>
      <c r="OW67" s="782"/>
      <c r="OX67" s="782"/>
      <c r="OY67" s="782"/>
      <c r="OZ67" s="782"/>
      <c r="PA67" s="782"/>
      <c r="PB67" s="782"/>
      <c r="PC67" s="782"/>
      <c r="PD67" s="782"/>
      <c r="PE67" s="782"/>
      <c r="PF67" s="782"/>
      <c r="PG67" s="782"/>
      <c r="PH67" s="782"/>
      <c r="PI67" s="782"/>
      <c r="PJ67" s="782"/>
      <c r="PK67" s="782"/>
      <c r="PL67" s="782"/>
      <c r="PM67" s="782"/>
      <c r="PN67" s="782"/>
      <c r="PO67" s="782"/>
      <c r="PP67" s="782"/>
      <c r="PQ67" s="782"/>
      <c r="PR67" s="782"/>
      <c r="PS67" s="782"/>
      <c r="PT67" s="782"/>
      <c r="PU67" s="782"/>
      <c r="PV67" s="782"/>
      <c r="PW67" s="782"/>
      <c r="PX67" s="782"/>
      <c r="PY67" s="782"/>
      <c r="PZ67" s="782"/>
      <c r="QA67" s="782"/>
      <c r="QB67" s="782"/>
      <c r="QC67" s="782"/>
      <c r="QD67" s="782"/>
      <c r="QE67" s="782"/>
      <c r="QF67" s="782"/>
      <c r="QG67" s="782"/>
      <c r="QH67" s="782"/>
      <c r="QI67" s="782"/>
      <c r="QJ67" s="782"/>
      <c r="QK67" s="782"/>
      <c r="QL67" s="782"/>
      <c r="QM67" s="782"/>
      <c r="QN67" s="782"/>
      <c r="QO67" s="782"/>
      <c r="QP67" s="782"/>
      <c r="QQ67" s="782"/>
      <c r="QR67" s="782"/>
      <c r="QS67" s="782"/>
      <c r="QT67" s="782"/>
      <c r="QU67" s="782"/>
      <c r="QV67" s="782"/>
      <c r="QW67" s="782"/>
      <c r="QX67" s="782"/>
      <c r="QY67" s="782"/>
      <c r="QZ67" s="782"/>
      <c r="RA67" s="782"/>
      <c r="RB67" s="782"/>
      <c r="RC67" s="782"/>
      <c r="RD67" s="782"/>
      <c r="RE67" s="782"/>
      <c r="RF67" s="782"/>
      <c r="RG67" s="782"/>
      <c r="RH67" s="782"/>
      <c r="RI67" s="782"/>
      <c r="RJ67" s="782"/>
      <c r="RK67" s="782"/>
      <c r="RL67" s="782"/>
      <c r="RM67" s="782"/>
      <c r="RN67" s="782"/>
      <c r="RO67" s="782"/>
      <c r="RP67" s="782"/>
      <c r="RQ67" s="782"/>
      <c r="RR67" s="782"/>
      <c r="RS67" s="782"/>
      <c r="RT67" s="782"/>
      <c r="RU67" s="782"/>
      <c r="RV67" s="782"/>
      <c r="RW67" s="782"/>
      <c r="RX67" s="782"/>
    </row>
    <row r="68" spans="1:492" s="143" customFormat="1">
      <c r="A68" s="782"/>
      <c r="B68" s="782"/>
      <c r="C68" s="782"/>
      <c r="D68" s="782"/>
      <c r="E68" s="782"/>
      <c r="F68" s="782"/>
      <c r="G68" s="782"/>
      <c r="H68" s="782"/>
      <c r="I68" s="782"/>
      <c r="J68" s="782"/>
      <c r="K68" s="782"/>
      <c r="L68" s="782"/>
      <c r="M68" s="782"/>
      <c r="N68" s="782"/>
      <c r="O68" s="782"/>
      <c r="P68" s="782"/>
      <c r="Q68" s="782"/>
      <c r="R68" s="782"/>
      <c r="S68" s="782"/>
      <c r="T68" s="782"/>
      <c r="U68" s="782"/>
      <c r="V68" s="782"/>
      <c r="W68" s="782"/>
      <c r="X68" s="782"/>
      <c r="Y68" s="782"/>
      <c r="Z68" s="782"/>
      <c r="AA68" s="782"/>
      <c r="AB68" s="782"/>
      <c r="AC68" s="782"/>
      <c r="AD68" s="782"/>
      <c r="AE68" s="782"/>
      <c r="AF68" s="782"/>
      <c r="AG68" s="782"/>
      <c r="AH68" s="782"/>
      <c r="AI68" s="782"/>
      <c r="AJ68" s="782"/>
      <c r="AK68" s="782"/>
      <c r="AL68" s="782"/>
      <c r="AM68" s="785"/>
      <c r="AN68" s="785"/>
      <c r="AO68" s="785"/>
      <c r="AP68" s="785"/>
      <c r="AQ68" s="785"/>
      <c r="AR68" s="785"/>
      <c r="AS68" s="785"/>
      <c r="AT68" s="785"/>
      <c r="AU68" s="785"/>
      <c r="AV68" s="785"/>
      <c r="AW68" s="785"/>
      <c r="AX68" s="785"/>
      <c r="AY68" s="785"/>
      <c r="AZ68" s="785"/>
      <c r="BA68" s="785"/>
      <c r="BB68" s="785"/>
      <c r="BC68" s="785"/>
      <c r="BD68" s="785"/>
      <c r="BE68" s="785"/>
      <c r="BF68" s="785"/>
      <c r="BG68" s="785"/>
      <c r="BH68" s="785"/>
      <c r="BI68" s="785"/>
      <c r="BJ68" s="785"/>
      <c r="BK68" s="785"/>
      <c r="BL68" s="785"/>
      <c r="BM68" s="785"/>
      <c r="BN68" s="785"/>
      <c r="BO68" s="785"/>
      <c r="BP68" s="785"/>
      <c r="BQ68" s="785"/>
      <c r="BR68" s="785"/>
      <c r="BS68" s="785"/>
      <c r="BT68" s="785"/>
      <c r="BU68" s="785"/>
      <c r="BV68" s="785"/>
      <c r="BW68" s="785"/>
      <c r="BX68" s="785"/>
      <c r="BY68" s="785"/>
      <c r="BZ68" s="785"/>
      <c r="CA68" s="782"/>
      <c r="CB68" s="782"/>
      <c r="CC68" s="782"/>
      <c r="CD68" s="782"/>
      <c r="CE68" s="782"/>
      <c r="CF68" s="782"/>
      <c r="CG68" s="782"/>
      <c r="CH68" s="782"/>
      <c r="CI68" s="782"/>
      <c r="CJ68" s="782"/>
      <c r="CK68" s="782"/>
      <c r="CL68" s="782"/>
      <c r="CM68" s="782"/>
      <c r="CN68" s="782"/>
      <c r="CO68" s="782"/>
      <c r="CP68" s="782"/>
      <c r="CQ68" s="782"/>
      <c r="CR68" s="782"/>
      <c r="CS68" s="782"/>
      <c r="CT68" s="782"/>
      <c r="CU68" s="782"/>
      <c r="CV68" s="782"/>
      <c r="CW68" s="782"/>
      <c r="CX68" s="782"/>
      <c r="CY68" s="782"/>
      <c r="CZ68" s="782"/>
      <c r="DA68" s="782"/>
      <c r="DB68" s="782"/>
      <c r="DC68" s="782"/>
      <c r="DD68" s="782"/>
      <c r="DE68" s="782"/>
      <c r="DF68" s="782"/>
      <c r="DG68" s="782"/>
      <c r="DH68" s="782"/>
      <c r="DI68" s="782"/>
      <c r="DJ68" s="782"/>
      <c r="DK68" s="782"/>
      <c r="DL68" s="782"/>
      <c r="DM68" s="782"/>
      <c r="DN68" s="782"/>
      <c r="DO68" s="782"/>
      <c r="DP68" s="782"/>
      <c r="DQ68" s="782"/>
      <c r="DR68" s="782"/>
      <c r="DS68" s="782"/>
      <c r="DT68" s="782"/>
      <c r="DU68" s="782"/>
      <c r="DV68" s="782"/>
      <c r="DW68" s="782"/>
      <c r="DX68" s="782"/>
      <c r="DY68" s="782"/>
      <c r="DZ68" s="782"/>
      <c r="EA68" s="782"/>
      <c r="EB68" s="782"/>
      <c r="EC68" s="782"/>
      <c r="ED68" s="782"/>
      <c r="EE68" s="782"/>
      <c r="EF68" s="782"/>
      <c r="EG68" s="782"/>
      <c r="EH68" s="782"/>
      <c r="EI68" s="782"/>
      <c r="EJ68" s="782"/>
      <c r="EK68" s="782"/>
      <c r="EL68" s="782"/>
      <c r="EM68" s="782"/>
      <c r="EN68" s="782"/>
      <c r="EO68" s="782"/>
      <c r="EP68" s="782"/>
      <c r="EQ68" s="782"/>
      <c r="ER68" s="782"/>
      <c r="ES68" s="782"/>
      <c r="ET68" s="782"/>
      <c r="EU68" s="782"/>
      <c r="EV68" s="782"/>
      <c r="EW68" s="782"/>
      <c r="EX68" s="782"/>
      <c r="EY68" s="782"/>
      <c r="EZ68" s="782"/>
      <c r="FA68" s="782"/>
      <c r="FB68" s="782"/>
      <c r="FC68" s="782"/>
      <c r="FD68" s="782"/>
      <c r="FE68" s="782"/>
      <c r="FF68" s="782"/>
      <c r="FG68" s="782"/>
      <c r="FH68" s="782"/>
      <c r="FI68" s="782"/>
      <c r="FJ68" s="782"/>
      <c r="FK68" s="782"/>
      <c r="FL68" s="782"/>
      <c r="FM68" s="782"/>
      <c r="FN68" s="782"/>
      <c r="FO68" s="782"/>
      <c r="FP68" s="782"/>
      <c r="FQ68" s="782"/>
      <c r="FR68" s="782"/>
      <c r="FS68" s="782"/>
      <c r="FT68" s="782"/>
      <c r="FU68" s="782"/>
      <c r="FV68" s="782"/>
      <c r="FW68" s="782"/>
      <c r="FX68" s="782"/>
      <c r="FY68" s="782"/>
      <c r="FZ68" s="782"/>
      <c r="GA68" s="782"/>
      <c r="GB68" s="782"/>
      <c r="GC68" s="782"/>
      <c r="GD68" s="782"/>
      <c r="GE68" s="782"/>
      <c r="GF68" s="782"/>
      <c r="GG68" s="782"/>
      <c r="GH68" s="782"/>
      <c r="GI68" s="782"/>
      <c r="GJ68" s="782"/>
      <c r="GK68" s="782"/>
      <c r="GL68" s="782"/>
      <c r="GM68" s="782"/>
      <c r="GN68" s="782"/>
      <c r="GO68" s="782"/>
      <c r="GP68" s="782"/>
      <c r="GQ68" s="782"/>
      <c r="GR68" s="782"/>
      <c r="GS68" s="782"/>
      <c r="GT68" s="782"/>
      <c r="GU68" s="782"/>
      <c r="GV68" s="782"/>
      <c r="GW68" s="782"/>
      <c r="GX68" s="782"/>
      <c r="GY68" s="782"/>
      <c r="GZ68" s="782"/>
      <c r="HA68" s="782"/>
      <c r="HB68" s="782"/>
      <c r="HC68" s="782"/>
      <c r="HD68" s="782"/>
      <c r="HE68" s="782"/>
      <c r="HF68" s="782"/>
      <c r="HG68" s="782"/>
      <c r="HH68" s="782"/>
      <c r="HI68" s="782"/>
      <c r="HJ68" s="782"/>
      <c r="HK68" s="782"/>
      <c r="HL68" s="782"/>
      <c r="HM68" s="782"/>
      <c r="HN68" s="782"/>
      <c r="HO68" s="782"/>
      <c r="HP68" s="782"/>
      <c r="HQ68" s="782"/>
      <c r="HR68" s="782"/>
      <c r="HS68" s="782"/>
      <c r="HT68" s="782"/>
      <c r="HU68" s="782"/>
      <c r="HV68" s="782"/>
      <c r="HW68" s="782"/>
      <c r="HX68" s="782"/>
      <c r="HY68" s="782"/>
      <c r="HZ68" s="782"/>
      <c r="IA68" s="782"/>
      <c r="IB68" s="782"/>
      <c r="IC68" s="782"/>
      <c r="ID68" s="782"/>
      <c r="IE68" s="782"/>
      <c r="IF68" s="782"/>
      <c r="IG68" s="782"/>
      <c r="IH68" s="782"/>
      <c r="II68" s="782"/>
      <c r="IJ68" s="782"/>
      <c r="IK68" s="782"/>
      <c r="IL68" s="782"/>
      <c r="IM68" s="782"/>
      <c r="IN68" s="782"/>
      <c r="IO68" s="782"/>
      <c r="IP68" s="782"/>
      <c r="IQ68" s="782"/>
      <c r="IR68" s="782"/>
      <c r="IS68" s="782"/>
      <c r="IT68" s="782"/>
      <c r="IU68" s="782"/>
      <c r="IV68" s="782"/>
      <c r="IW68" s="782"/>
      <c r="IX68" s="782"/>
      <c r="IY68" s="782"/>
      <c r="IZ68" s="782"/>
      <c r="JA68" s="782"/>
      <c r="JB68" s="782"/>
      <c r="JC68" s="782"/>
      <c r="JD68" s="782"/>
      <c r="JE68" s="782"/>
      <c r="JF68" s="782"/>
      <c r="JG68" s="782"/>
      <c r="JH68" s="782"/>
      <c r="JI68" s="782"/>
      <c r="JJ68" s="782"/>
      <c r="JK68" s="782"/>
      <c r="JL68" s="782"/>
      <c r="JM68" s="782"/>
      <c r="JN68" s="782"/>
      <c r="JO68" s="782"/>
      <c r="JP68" s="782"/>
      <c r="JQ68" s="782"/>
      <c r="JR68" s="782"/>
      <c r="JS68" s="782"/>
      <c r="JT68" s="782"/>
      <c r="JU68" s="782"/>
      <c r="JV68" s="782"/>
      <c r="JW68" s="782"/>
      <c r="JX68" s="782"/>
      <c r="JY68" s="782"/>
      <c r="JZ68" s="782"/>
      <c r="KA68" s="782"/>
      <c r="KB68" s="782"/>
      <c r="KC68" s="782"/>
      <c r="KD68" s="782"/>
      <c r="KE68" s="782"/>
      <c r="KF68" s="782"/>
      <c r="KG68" s="782"/>
      <c r="KH68" s="782"/>
      <c r="KI68" s="782"/>
      <c r="KJ68" s="782"/>
      <c r="KK68" s="782"/>
      <c r="KL68" s="782"/>
      <c r="KM68" s="782"/>
      <c r="KN68" s="782"/>
      <c r="KO68" s="782"/>
      <c r="KP68" s="782"/>
      <c r="KQ68" s="782"/>
      <c r="KR68" s="782"/>
      <c r="KS68" s="782"/>
      <c r="KT68" s="782"/>
      <c r="KU68" s="782"/>
      <c r="KV68" s="782"/>
      <c r="KW68" s="782"/>
      <c r="KX68" s="782"/>
      <c r="KY68" s="782"/>
      <c r="KZ68" s="782"/>
      <c r="LA68" s="782"/>
      <c r="LB68" s="782"/>
      <c r="LC68" s="782"/>
      <c r="LD68" s="782"/>
      <c r="LE68" s="782"/>
      <c r="LF68" s="782"/>
      <c r="LG68" s="782"/>
      <c r="LH68" s="782"/>
      <c r="LI68" s="782"/>
      <c r="LJ68" s="782"/>
      <c r="LK68" s="782"/>
      <c r="LL68" s="782"/>
      <c r="LM68" s="782"/>
      <c r="LN68" s="782"/>
      <c r="LO68" s="782"/>
      <c r="LP68" s="782"/>
      <c r="LQ68" s="782"/>
      <c r="LR68" s="782"/>
      <c r="LS68" s="782"/>
      <c r="LT68" s="782"/>
      <c r="LU68" s="782"/>
      <c r="LV68" s="782"/>
      <c r="LW68" s="782"/>
      <c r="LX68" s="782"/>
      <c r="LY68" s="782"/>
      <c r="LZ68" s="782"/>
      <c r="MA68" s="782"/>
      <c r="MB68" s="782"/>
      <c r="MC68" s="782"/>
      <c r="MD68" s="782"/>
      <c r="ME68" s="782"/>
      <c r="MF68" s="782"/>
      <c r="MG68" s="782"/>
      <c r="MH68" s="782"/>
      <c r="MI68" s="782"/>
      <c r="MJ68" s="782"/>
      <c r="MK68" s="782"/>
      <c r="ML68" s="782"/>
      <c r="MM68" s="782"/>
      <c r="MN68" s="782"/>
      <c r="MO68" s="782"/>
      <c r="MP68" s="782"/>
      <c r="MQ68" s="782"/>
      <c r="MR68" s="782"/>
      <c r="MS68" s="782"/>
      <c r="MT68" s="782"/>
      <c r="MU68" s="782"/>
      <c r="MV68" s="782"/>
      <c r="MW68" s="782"/>
      <c r="MX68" s="782"/>
      <c r="MY68" s="782"/>
      <c r="MZ68" s="782"/>
      <c r="NA68" s="782"/>
      <c r="NB68" s="782"/>
      <c r="NC68" s="782"/>
      <c r="ND68" s="782"/>
      <c r="NE68" s="782"/>
      <c r="NF68" s="782"/>
      <c r="NG68" s="782"/>
      <c r="NH68" s="782"/>
      <c r="NI68" s="782"/>
      <c r="NJ68" s="782"/>
      <c r="NK68" s="782"/>
      <c r="NL68" s="782"/>
      <c r="NM68" s="782"/>
      <c r="NN68" s="782"/>
      <c r="NO68" s="782"/>
      <c r="NP68" s="782"/>
      <c r="NQ68" s="782"/>
      <c r="NR68" s="782"/>
      <c r="NS68" s="782"/>
      <c r="NT68" s="782"/>
      <c r="NU68" s="782"/>
      <c r="NV68" s="782"/>
      <c r="NW68" s="782"/>
      <c r="NX68" s="782"/>
      <c r="NY68" s="782"/>
      <c r="NZ68" s="782"/>
      <c r="OA68" s="782"/>
      <c r="OB68" s="782"/>
      <c r="OC68" s="782"/>
      <c r="OD68" s="782"/>
      <c r="OE68" s="782"/>
      <c r="OF68" s="782"/>
      <c r="OG68" s="782"/>
      <c r="OH68" s="782"/>
      <c r="OI68" s="782"/>
      <c r="OJ68" s="782"/>
      <c r="OK68" s="782"/>
      <c r="OL68" s="782"/>
      <c r="OM68" s="782"/>
      <c r="ON68" s="782"/>
      <c r="OO68" s="782"/>
      <c r="OP68" s="782"/>
      <c r="OQ68" s="782"/>
      <c r="OR68" s="782"/>
      <c r="OS68" s="782"/>
      <c r="OT68" s="782"/>
      <c r="OU68" s="782"/>
      <c r="OV68" s="782"/>
      <c r="OW68" s="782"/>
      <c r="OX68" s="782"/>
      <c r="OY68" s="782"/>
      <c r="OZ68" s="782"/>
      <c r="PA68" s="782"/>
      <c r="PB68" s="782"/>
      <c r="PC68" s="782"/>
      <c r="PD68" s="782"/>
      <c r="PE68" s="782"/>
      <c r="PF68" s="782"/>
      <c r="PG68" s="782"/>
      <c r="PH68" s="782"/>
      <c r="PI68" s="782"/>
      <c r="PJ68" s="782"/>
      <c r="PK68" s="782"/>
      <c r="PL68" s="782"/>
      <c r="PM68" s="782"/>
      <c r="PN68" s="782"/>
      <c r="PO68" s="782"/>
      <c r="PP68" s="782"/>
      <c r="PQ68" s="782"/>
      <c r="PR68" s="782"/>
      <c r="PS68" s="782"/>
      <c r="PT68" s="782"/>
      <c r="PU68" s="782"/>
      <c r="PV68" s="782"/>
      <c r="PW68" s="782"/>
      <c r="PX68" s="782"/>
      <c r="PY68" s="782"/>
      <c r="PZ68" s="782"/>
      <c r="QA68" s="782"/>
      <c r="QB68" s="782"/>
      <c r="QC68" s="782"/>
      <c r="QD68" s="782"/>
      <c r="QE68" s="782"/>
      <c r="QF68" s="782"/>
      <c r="QG68" s="782"/>
      <c r="QH68" s="782"/>
      <c r="QI68" s="782"/>
      <c r="QJ68" s="782"/>
      <c r="QK68" s="782"/>
      <c r="QL68" s="782"/>
      <c r="QM68" s="782"/>
      <c r="QN68" s="782"/>
      <c r="QO68" s="782"/>
      <c r="QP68" s="782"/>
      <c r="QQ68" s="782"/>
      <c r="QR68" s="782"/>
      <c r="QS68" s="782"/>
      <c r="QT68" s="782"/>
      <c r="QU68" s="782"/>
      <c r="QV68" s="782"/>
      <c r="QW68" s="782"/>
      <c r="QX68" s="782"/>
      <c r="QY68" s="782"/>
      <c r="QZ68" s="782"/>
      <c r="RA68" s="782"/>
      <c r="RB68" s="782"/>
      <c r="RC68" s="782"/>
      <c r="RD68" s="782"/>
      <c r="RE68" s="782"/>
      <c r="RF68" s="782"/>
      <c r="RG68" s="782"/>
      <c r="RH68" s="782"/>
      <c r="RI68" s="782"/>
      <c r="RJ68" s="782"/>
      <c r="RK68" s="782"/>
      <c r="RL68" s="782"/>
      <c r="RM68" s="782"/>
      <c r="RN68" s="782"/>
      <c r="RO68" s="782"/>
      <c r="RP68" s="782"/>
      <c r="RQ68" s="782"/>
      <c r="RR68" s="782"/>
      <c r="RS68" s="782"/>
      <c r="RT68" s="782"/>
      <c r="RU68" s="782"/>
      <c r="RV68" s="782"/>
      <c r="RW68" s="782"/>
      <c r="RX68" s="782"/>
    </row>
    <row r="69" spans="1:492" s="143" customFormat="1">
      <c r="A69" s="782"/>
      <c r="B69" s="782"/>
      <c r="C69" s="782"/>
      <c r="D69" s="782"/>
      <c r="E69" s="782"/>
      <c r="F69" s="782"/>
      <c r="G69" s="782"/>
      <c r="H69" s="782"/>
      <c r="I69" s="782"/>
      <c r="J69" s="782"/>
      <c r="K69" s="782"/>
      <c r="L69" s="782"/>
      <c r="M69" s="782"/>
      <c r="N69" s="782"/>
      <c r="O69" s="782"/>
      <c r="P69" s="782"/>
      <c r="Q69" s="782"/>
      <c r="R69" s="782"/>
      <c r="S69" s="782"/>
      <c r="T69" s="782"/>
      <c r="U69" s="782"/>
      <c r="V69" s="782"/>
      <c r="W69" s="782"/>
      <c r="X69" s="782"/>
      <c r="Y69" s="782"/>
      <c r="Z69" s="782"/>
      <c r="AA69" s="782"/>
      <c r="AB69" s="782"/>
      <c r="AC69" s="782"/>
      <c r="AD69" s="782"/>
      <c r="AE69" s="782"/>
      <c r="AF69" s="782"/>
      <c r="AG69" s="782"/>
      <c r="AH69" s="782"/>
      <c r="AI69" s="782"/>
      <c r="AJ69" s="782"/>
      <c r="AK69" s="782"/>
      <c r="AL69" s="782"/>
      <c r="AM69" s="785"/>
      <c r="AN69" s="785"/>
      <c r="AO69" s="785"/>
      <c r="AP69" s="785"/>
      <c r="AQ69" s="785"/>
      <c r="AR69" s="785"/>
      <c r="AS69" s="785"/>
      <c r="AT69" s="785"/>
      <c r="AU69" s="785"/>
      <c r="AV69" s="785"/>
      <c r="AW69" s="785"/>
      <c r="AX69" s="785"/>
      <c r="AY69" s="785"/>
      <c r="AZ69" s="785"/>
      <c r="BA69" s="785"/>
      <c r="BB69" s="785"/>
      <c r="BC69" s="785"/>
      <c r="BD69" s="785"/>
      <c r="BE69" s="785"/>
      <c r="BF69" s="785"/>
      <c r="BG69" s="785"/>
      <c r="BH69" s="785"/>
      <c r="BI69" s="785"/>
      <c r="BJ69" s="785"/>
      <c r="BK69" s="785"/>
      <c r="BL69" s="785"/>
      <c r="BM69" s="785"/>
      <c r="BN69" s="785"/>
      <c r="BO69" s="785"/>
      <c r="BP69" s="785"/>
      <c r="BQ69" s="785"/>
      <c r="BR69" s="785"/>
      <c r="BS69" s="785"/>
      <c r="BT69" s="785"/>
      <c r="BU69" s="785"/>
      <c r="BV69" s="785"/>
      <c r="BW69" s="785"/>
      <c r="BX69" s="785"/>
      <c r="BY69" s="785"/>
      <c r="BZ69" s="785"/>
      <c r="CA69" s="782"/>
      <c r="CB69" s="782"/>
      <c r="CC69" s="782"/>
      <c r="CD69" s="782"/>
      <c r="CE69" s="782"/>
      <c r="CF69" s="782"/>
      <c r="CG69" s="782"/>
      <c r="CH69" s="782"/>
      <c r="CI69" s="782"/>
      <c r="CJ69" s="782"/>
      <c r="CK69" s="782"/>
      <c r="CL69" s="782"/>
      <c r="CM69" s="782"/>
      <c r="CN69" s="782"/>
      <c r="CO69" s="782"/>
      <c r="CP69" s="782"/>
      <c r="CQ69" s="782"/>
      <c r="CR69" s="782"/>
      <c r="CS69" s="782"/>
      <c r="CT69" s="782"/>
      <c r="CU69" s="782"/>
      <c r="CV69" s="782"/>
      <c r="CW69" s="782"/>
      <c r="CX69" s="782"/>
      <c r="CY69" s="782"/>
      <c r="CZ69" s="782"/>
      <c r="DA69" s="782"/>
      <c r="DB69" s="782"/>
      <c r="DC69" s="782"/>
      <c r="DD69" s="782"/>
      <c r="DE69" s="782"/>
      <c r="DF69" s="782"/>
      <c r="DG69" s="782"/>
      <c r="DH69" s="782"/>
      <c r="DI69" s="782"/>
      <c r="DJ69" s="782"/>
      <c r="DK69" s="782"/>
      <c r="DL69" s="782"/>
      <c r="DM69" s="782"/>
      <c r="DN69" s="782"/>
      <c r="DO69" s="782"/>
      <c r="DP69" s="782"/>
      <c r="DQ69" s="782"/>
      <c r="DR69" s="782"/>
      <c r="DS69" s="782"/>
      <c r="DT69" s="782"/>
      <c r="DU69" s="782"/>
      <c r="DV69" s="782"/>
      <c r="DW69" s="782"/>
      <c r="DX69" s="782"/>
      <c r="DY69" s="782"/>
      <c r="DZ69" s="782"/>
      <c r="EA69" s="782"/>
      <c r="EB69" s="782"/>
      <c r="EC69" s="782"/>
      <c r="ED69" s="782"/>
      <c r="EE69" s="782"/>
      <c r="EF69" s="782"/>
      <c r="EG69" s="782"/>
      <c r="EH69" s="782"/>
      <c r="EI69" s="782"/>
      <c r="EJ69" s="782"/>
      <c r="EK69" s="782"/>
      <c r="EL69" s="782"/>
      <c r="EM69" s="782"/>
      <c r="EN69" s="782"/>
      <c r="EO69" s="782"/>
      <c r="EP69" s="782"/>
      <c r="EQ69" s="782"/>
      <c r="ER69" s="782"/>
      <c r="ES69" s="782"/>
      <c r="ET69" s="782"/>
      <c r="EU69" s="782"/>
      <c r="EV69" s="782"/>
      <c r="EW69" s="782"/>
      <c r="EX69" s="782"/>
      <c r="EY69" s="782"/>
      <c r="EZ69" s="782"/>
      <c r="FA69" s="782"/>
      <c r="FB69" s="782"/>
      <c r="FC69" s="782"/>
      <c r="FD69" s="782"/>
      <c r="FE69" s="782"/>
      <c r="FF69" s="782"/>
      <c r="FG69" s="782"/>
      <c r="FH69" s="782"/>
      <c r="FI69" s="782"/>
      <c r="FJ69" s="782"/>
      <c r="FK69" s="782"/>
      <c r="FL69" s="782"/>
      <c r="FM69" s="782"/>
      <c r="FN69" s="782"/>
      <c r="FO69" s="782"/>
      <c r="FP69" s="782"/>
      <c r="FQ69" s="782"/>
      <c r="FR69" s="782"/>
      <c r="FS69" s="782"/>
      <c r="FT69" s="782"/>
      <c r="FU69" s="782"/>
      <c r="FV69" s="782"/>
      <c r="FW69" s="782"/>
      <c r="FX69" s="782"/>
      <c r="FY69" s="782"/>
      <c r="FZ69" s="782"/>
      <c r="GA69" s="782"/>
      <c r="GB69" s="782"/>
      <c r="GC69" s="782"/>
      <c r="GD69" s="782"/>
      <c r="GE69" s="782"/>
      <c r="GF69" s="782"/>
      <c r="GG69" s="782"/>
      <c r="GH69" s="782"/>
      <c r="GI69" s="782"/>
      <c r="GJ69" s="782"/>
      <c r="GK69" s="782"/>
      <c r="GL69" s="782"/>
      <c r="GM69" s="782"/>
      <c r="GN69" s="782"/>
      <c r="GO69" s="782"/>
      <c r="GP69" s="782"/>
      <c r="GQ69" s="782"/>
      <c r="GR69" s="782"/>
      <c r="GS69" s="782"/>
      <c r="GT69" s="782"/>
      <c r="GU69" s="782"/>
      <c r="GV69" s="782"/>
      <c r="GW69" s="782"/>
      <c r="GX69" s="782"/>
      <c r="GY69" s="782"/>
      <c r="GZ69" s="782"/>
      <c r="HA69" s="782"/>
      <c r="HB69" s="782"/>
      <c r="HC69" s="782"/>
      <c r="HD69" s="782"/>
      <c r="HE69" s="782"/>
      <c r="HF69" s="782"/>
      <c r="HG69" s="782"/>
      <c r="HH69" s="782"/>
      <c r="HI69" s="782"/>
      <c r="HJ69" s="782"/>
      <c r="HK69" s="782"/>
      <c r="HL69" s="782"/>
      <c r="HM69" s="782"/>
      <c r="HN69" s="782"/>
      <c r="HO69" s="782"/>
      <c r="HP69" s="782"/>
      <c r="HQ69" s="782"/>
      <c r="HR69" s="782"/>
      <c r="HS69" s="782"/>
      <c r="HT69" s="782"/>
      <c r="HU69" s="782"/>
      <c r="HV69" s="782"/>
      <c r="HW69" s="782"/>
      <c r="HX69" s="782"/>
      <c r="HY69" s="782"/>
      <c r="HZ69" s="782"/>
      <c r="IA69" s="782"/>
      <c r="IB69" s="782"/>
      <c r="IC69" s="782"/>
      <c r="ID69" s="782"/>
      <c r="IE69" s="782"/>
      <c r="IF69" s="782"/>
      <c r="IG69" s="782"/>
      <c r="IH69" s="782"/>
      <c r="II69" s="782"/>
      <c r="IJ69" s="782"/>
      <c r="IK69" s="782"/>
      <c r="IL69" s="782"/>
      <c r="IM69" s="782"/>
      <c r="IN69" s="782"/>
      <c r="IO69" s="782"/>
      <c r="IP69" s="782"/>
      <c r="IQ69" s="782"/>
      <c r="IR69" s="782"/>
      <c r="IS69" s="782"/>
      <c r="IT69" s="782"/>
      <c r="IU69" s="782"/>
      <c r="IV69" s="782"/>
      <c r="IW69" s="782"/>
      <c r="IX69" s="782"/>
      <c r="IY69" s="782"/>
      <c r="IZ69" s="782"/>
      <c r="JA69" s="782"/>
      <c r="JB69" s="782"/>
      <c r="JC69" s="782"/>
      <c r="JD69" s="782"/>
      <c r="JE69" s="782"/>
      <c r="JF69" s="782"/>
      <c r="JG69" s="782"/>
      <c r="JH69" s="782"/>
      <c r="JI69" s="782"/>
      <c r="JJ69" s="782"/>
      <c r="JK69" s="782"/>
      <c r="JL69" s="782"/>
      <c r="JM69" s="782"/>
      <c r="JN69" s="782"/>
      <c r="JO69" s="782"/>
      <c r="JP69" s="782"/>
      <c r="JQ69" s="782"/>
      <c r="JR69" s="782"/>
      <c r="JS69" s="782"/>
      <c r="JT69" s="782"/>
      <c r="JU69" s="782"/>
      <c r="JV69" s="782"/>
      <c r="JW69" s="782"/>
      <c r="JX69" s="782"/>
      <c r="JY69" s="782"/>
      <c r="JZ69" s="782"/>
      <c r="KA69" s="782"/>
      <c r="KB69" s="782"/>
      <c r="KC69" s="782"/>
      <c r="KD69" s="782"/>
      <c r="KE69" s="782"/>
      <c r="KF69" s="782"/>
      <c r="KG69" s="782"/>
      <c r="KH69" s="782"/>
      <c r="KI69" s="782"/>
      <c r="KJ69" s="782"/>
      <c r="KK69" s="782"/>
      <c r="KL69" s="782"/>
      <c r="KM69" s="782"/>
      <c r="KN69" s="782"/>
      <c r="KO69" s="782"/>
      <c r="KP69" s="782"/>
      <c r="KQ69" s="782"/>
      <c r="KR69" s="782"/>
      <c r="KS69" s="782"/>
      <c r="KT69" s="782"/>
      <c r="KU69" s="782"/>
      <c r="KV69" s="782"/>
      <c r="KW69" s="782"/>
      <c r="KX69" s="782"/>
      <c r="KY69" s="782"/>
      <c r="KZ69" s="782"/>
      <c r="LA69" s="782"/>
      <c r="LB69" s="782"/>
      <c r="LC69" s="782"/>
      <c r="LD69" s="782"/>
      <c r="LE69" s="782"/>
      <c r="LF69" s="782"/>
      <c r="LG69" s="782"/>
      <c r="LH69" s="782"/>
      <c r="LI69" s="782"/>
      <c r="LJ69" s="782"/>
      <c r="LK69" s="782"/>
      <c r="LL69" s="782"/>
      <c r="LM69" s="782"/>
      <c r="LN69" s="782"/>
      <c r="LO69" s="782"/>
      <c r="LP69" s="782"/>
      <c r="LQ69" s="782"/>
      <c r="LR69" s="782"/>
      <c r="LS69" s="782"/>
      <c r="LT69" s="782"/>
      <c r="LU69" s="782"/>
      <c r="LV69" s="782"/>
      <c r="LW69" s="782"/>
      <c r="LX69" s="782"/>
      <c r="LY69" s="782"/>
      <c r="LZ69" s="782"/>
      <c r="MA69" s="782"/>
      <c r="MB69" s="782"/>
      <c r="MC69" s="782"/>
      <c r="MD69" s="782"/>
      <c r="ME69" s="782"/>
      <c r="MF69" s="782"/>
      <c r="MG69" s="782"/>
      <c r="MH69" s="782"/>
      <c r="MI69" s="782"/>
      <c r="MJ69" s="782"/>
      <c r="MK69" s="782"/>
      <c r="ML69" s="782"/>
      <c r="MM69" s="782"/>
      <c r="MN69" s="782"/>
      <c r="MO69" s="782"/>
      <c r="MP69" s="782"/>
      <c r="MQ69" s="782"/>
      <c r="MR69" s="782"/>
      <c r="MS69" s="782"/>
      <c r="MT69" s="782"/>
      <c r="MU69" s="782"/>
      <c r="MV69" s="782"/>
      <c r="MW69" s="782"/>
      <c r="MX69" s="782"/>
      <c r="MY69" s="782"/>
      <c r="MZ69" s="782"/>
      <c r="NA69" s="782"/>
      <c r="NB69" s="782"/>
      <c r="NC69" s="782"/>
      <c r="ND69" s="782"/>
      <c r="NE69" s="782"/>
      <c r="NF69" s="782"/>
      <c r="NG69" s="782"/>
      <c r="NH69" s="782"/>
      <c r="NI69" s="782"/>
      <c r="NJ69" s="782"/>
      <c r="NK69" s="782"/>
      <c r="NL69" s="782"/>
      <c r="NM69" s="782"/>
      <c r="NN69" s="782"/>
      <c r="NO69" s="782"/>
      <c r="NP69" s="782"/>
      <c r="NQ69" s="782"/>
      <c r="NR69" s="782"/>
      <c r="NS69" s="782"/>
      <c r="NT69" s="782"/>
      <c r="NU69" s="782"/>
      <c r="NV69" s="782"/>
      <c r="NW69" s="782"/>
      <c r="NX69" s="782"/>
      <c r="NY69" s="782"/>
      <c r="NZ69" s="782"/>
      <c r="OA69" s="782"/>
      <c r="OB69" s="782"/>
      <c r="OC69" s="782"/>
      <c r="OD69" s="782"/>
      <c r="OE69" s="782"/>
      <c r="OF69" s="782"/>
      <c r="OG69" s="782"/>
      <c r="OH69" s="782"/>
      <c r="OI69" s="782"/>
      <c r="OJ69" s="782"/>
      <c r="OK69" s="782"/>
      <c r="OL69" s="782"/>
      <c r="OM69" s="782"/>
      <c r="ON69" s="782"/>
      <c r="OO69" s="782"/>
      <c r="OP69" s="782"/>
      <c r="OQ69" s="782"/>
      <c r="OR69" s="782"/>
      <c r="OS69" s="782"/>
      <c r="OT69" s="782"/>
      <c r="OU69" s="782"/>
      <c r="OV69" s="782"/>
      <c r="OW69" s="782"/>
      <c r="OX69" s="782"/>
      <c r="OY69" s="782"/>
      <c r="OZ69" s="782"/>
      <c r="PA69" s="782"/>
      <c r="PB69" s="782"/>
      <c r="PC69" s="782"/>
      <c r="PD69" s="782"/>
      <c r="PE69" s="782"/>
      <c r="PF69" s="782"/>
      <c r="PG69" s="782"/>
      <c r="PH69" s="782"/>
      <c r="PI69" s="782"/>
      <c r="PJ69" s="782"/>
      <c r="PK69" s="782"/>
      <c r="PL69" s="782"/>
      <c r="PM69" s="782"/>
      <c r="PN69" s="782"/>
      <c r="PO69" s="782"/>
      <c r="PP69" s="782"/>
      <c r="PQ69" s="782"/>
      <c r="PR69" s="782"/>
      <c r="PS69" s="782"/>
      <c r="PT69" s="782"/>
      <c r="PU69" s="782"/>
      <c r="PV69" s="782"/>
      <c r="PW69" s="782"/>
      <c r="PX69" s="782"/>
      <c r="PY69" s="782"/>
      <c r="PZ69" s="782"/>
      <c r="QA69" s="782"/>
      <c r="QB69" s="782"/>
      <c r="QC69" s="782"/>
      <c r="QD69" s="782"/>
      <c r="QE69" s="782"/>
      <c r="QF69" s="782"/>
      <c r="QG69" s="782"/>
      <c r="QH69" s="782"/>
      <c r="QI69" s="782"/>
      <c r="QJ69" s="782"/>
      <c r="QK69" s="782"/>
      <c r="QL69" s="782"/>
      <c r="QM69" s="782"/>
      <c r="QN69" s="782"/>
      <c r="QO69" s="782"/>
      <c r="QP69" s="782"/>
      <c r="QQ69" s="782"/>
      <c r="QR69" s="782"/>
      <c r="QS69" s="782"/>
      <c r="QT69" s="782"/>
      <c r="QU69" s="782"/>
      <c r="QV69" s="782"/>
      <c r="QW69" s="782"/>
      <c r="QX69" s="782"/>
      <c r="QY69" s="782"/>
      <c r="QZ69" s="782"/>
      <c r="RA69" s="782"/>
      <c r="RB69" s="782"/>
      <c r="RC69" s="782"/>
      <c r="RD69" s="782"/>
      <c r="RE69" s="782"/>
      <c r="RF69" s="782"/>
      <c r="RG69" s="782"/>
      <c r="RH69" s="782"/>
      <c r="RI69" s="782"/>
      <c r="RJ69" s="782"/>
      <c r="RK69" s="782"/>
      <c r="RL69" s="782"/>
      <c r="RM69" s="782"/>
      <c r="RN69" s="782"/>
      <c r="RO69" s="782"/>
      <c r="RP69" s="782"/>
      <c r="RQ69" s="782"/>
      <c r="RR69" s="782"/>
      <c r="RS69" s="782"/>
      <c r="RT69" s="782"/>
      <c r="RU69" s="782"/>
      <c r="RV69" s="782"/>
      <c r="RW69" s="782"/>
      <c r="RX69" s="782"/>
    </row>
    <row r="70" spans="1:492" s="143" customFormat="1">
      <c r="A70" s="782"/>
      <c r="B70" s="782"/>
      <c r="C70" s="782"/>
      <c r="D70" s="782"/>
      <c r="E70" s="782"/>
      <c r="F70" s="782"/>
      <c r="G70" s="782"/>
      <c r="H70" s="782"/>
      <c r="I70" s="782"/>
      <c r="J70" s="782"/>
      <c r="K70" s="782"/>
      <c r="L70" s="782"/>
      <c r="M70" s="782"/>
      <c r="N70" s="782"/>
      <c r="O70" s="782"/>
      <c r="P70" s="782"/>
      <c r="Q70" s="782"/>
      <c r="R70" s="782"/>
      <c r="S70" s="782"/>
      <c r="T70" s="782"/>
      <c r="U70" s="782"/>
      <c r="V70" s="782"/>
      <c r="W70" s="782"/>
      <c r="X70" s="782"/>
      <c r="Y70" s="782"/>
      <c r="Z70" s="782"/>
      <c r="AA70" s="782"/>
      <c r="AB70" s="782"/>
      <c r="AC70" s="782"/>
      <c r="AD70" s="782"/>
      <c r="AE70" s="782"/>
      <c r="AF70" s="782"/>
      <c r="AG70" s="782"/>
      <c r="AH70" s="782"/>
      <c r="AI70" s="782"/>
      <c r="AJ70" s="782"/>
      <c r="AK70" s="782"/>
      <c r="AL70" s="782"/>
      <c r="AM70" s="785"/>
      <c r="AN70" s="785"/>
      <c r="AO70" s="785"/>
      <c r="AP70" s="785"/>
      <c r="AQ70" s="785"/>
      <c r="AR70" s="785"/>
      <c r="AS70" s="785"/>
      <c r="AT70" s="785"/>
      <c r="AU70" s="785"/>
      <c r="AV70" s="785"/>
      <c r="AW70" s="785"/>
      <c r="AX70" s="785"/>
      <c r="AY70" s="785"/>
      <c r="AZ70" s="785"/>
      <c r="BA70" s="785"/>
      <c r="BB70" s="785"/>
      <c r="BC70" s="785"/>
      <c r="BD70" s="785"/>
      <c r="BE70" s="785"/>
      <c r="BF70" s="785"/>
      <c r="BG70" s="785"/>
      <c r="BH70" s="785"/>
      <c r="BI70" s="785"/>
      <c r="BJ70" s="785"/>
      <c r="BK70" s="785"/>
      <c r="BL70" s="785"/>
      <c r="BM70" s="785"/>
      <c r="BN70" s="785"/>
      <c r="BO70" s="785"/>
      <c r="BP70" s="785"/>
      <c r="BQ70" s="785"/>
      <c r="BR70" s="785"/>
      <c r="BS70" s="785"/>
      <c r="BT70" s="785"/>
      <c r="BU70" s="785"/>
      <c r="BV70" s="785"/>
      <c r="BW70" s="785"/>
      <c r="BX70" s="785"/>
      <c r="BY70" s="785"/>
      <c r="BZ70" s="785"/>
      <c r="CA70" s="782"/>
      <c r="CB70" s="782"/>
      <c r="CC70" s="782"/>
      <c r="CD70" s="782"/>
      <c r="CE70" s="782"/>
      <c r="CF70" s="782"/>
      <c r="CG70" s="782"/>
      <c r="CH70" s="782"/>
      <c r="CI70" s="782"/>
      <c r="CJ70" s="782"/>
      <c r="CK70" s="782"/>
      <c r="CL70" s="782"/>
      <c r="CM70" s="782"/>
      <c r="CN70" s="782"/>
      <c r="CO70" s="782"/>
      <c r="CP70" s="782"/>
      <c r="CQ70" s="782"/>
      <c r="CR70" s="782"/>
      <c r="CS70" s="782"/>
      <c r="CT70" s="782"/>
      <c r="CU70" s="782"/>
      <c r="CV70" s="782"/>
      <c r="CW70" s="782"/>
      <c r="CX70" s="782"/>
      <c r="CY70" s="782"/>
      <c r="CZ70" s="782"/>
      <c r="DA70" s="782"/>
      <c r="DB70" s="782"/>
      <c r="DC70" s="782"/>
      <c r="DD70" s="782"/>
      <c r="DE70" s="782"/>
      <c r="DF70" s="782"/>
      <c r="DG70" s="782"/>
      <c r="DH70" s="782"/>
      <c r="DI70" s="782"/>
      <c r="DJ70" s="782"/>
      <c r="DK70" s="782"/>
      <c r="DL70" s="782"/>
      <c r="DM70" s="782"/>
      <c r="DN70" s="782"/>
      <c r="DO70" s="782"/>
      <c r="DP70" s="782"/>
      <c r="DQ70" s="782"/>
      <c r="DR70" s="782"/>
      <c r="DS70" s="782"/>
      <c r="DT70" s="782"/>
      <c r="DU70" s="782"/>
      <c r="DV70" s="782"/>
      <c r="DW70" s="782"/>
      <c r="DX70" s="782"/>
      <c r="DY70" s="782"/>
      <c r="DZ70" s="782"/>
      <c r="EA70" s="782"/>
      <c r="EB70" s="782"/>
      <c r="EC70" s="782"/>
      <c r="ED70" s="782"/>
      <c r="EE70" s="782"/>
      <c r="EF70" s="782"/>
      <c r="EG70" s="782"/>
      <c r="EH70" s="782"/>
      <c r="EI70" s="782"/>
      <c r="EJ70" s="782"/>
      <c r="EK70" s="782"/>
      <c r="EL70" s="782"/>
      <c r="EM70" s="782"/>
      <c r="EN70" s="782"/>
      <c r="EO70" s="782"/>
      <c r="EP70" s="782"/>
      <c r="EQ70" s="782"/>
      <c r="ER70" s="782"/>
      <c r="ES70" s="782"/>
      <c r="ET70" s="782"/>
      <c r="EU70" s="782"/>
      <c r="EV70" s="782"/>
      <c r="EW70" s="782"/>
      <c r="EX70" s="782"/>
      <c r="EY70" s="782"/>
      <c r="EZ70" s="782"/>
      <c r="FA70" s="782"/>
      <c r="FB70" s="782"/>
      <c r="FC70" s="782"/>
      <c r="FD70" s="782"/>
      <c r="FE70" s="782"/>
      <c r="FF70" s="782"/>
      <c r="FG70" s="782"/>
      <c r="FH70" s="782"/>
      <c r="FI70" s="782"/>
      <c r="FJ70" s="782"/>
      <c r="FK70" s="782"/>
      <c r="FL70" s="782"/>
      <c r="FM70" s="782"/>
      <c r="FN70" s="782"/>
      <c r="FO70" s="782"/>
      <c r="FP70" s="782"/>
      <c r="FQ70" s="782"/>
      <c r="FR70" s="782"/>
      <c r="FS70" s="782"/>
      <c r="FT70" s="782"/>
      <c r="FU70" s="782"/>
      <c r="FV70" s="782"/>
      <c r="FW70" s="782"/>
      <c r="FX70" s="782"/>
      <c r="FY70" s="782"/>
      <c r="FZ70" s="782"/>
      <c r="GA70" s="782"/>
      <c r="GB70" s="782"/>
      <c r="GC70" s="782"/>
      <c r="GD70" s="782"/>
      <c r="GE70" s="782"/>
      <c r="GF70" s="782"/>
      <c r="GG70" s="782"/>
      <c r="GH70" s="782"/>
      <c r="GI70" s="782"/>
      <c r="GJ70" s="782"/>
      <c r="GK70" s="782"/>
      <c r="GL70" s="782"/>
      <c r="GM70" s="782"/>
      <c r="GN70" s="782"/>
      <c r="GO70" s="782"/>
      <c r="GP70" s="782"/>
      <c r="GQ70" s="782"/>
      <c r="GR70" s="782"/>
      <c r="GS70" s="782"/>
      <c r="GT70" s="782"/>
      <c r="GU70" s="782"/>
      <c r="GV70" s="782"/>
      <c r="GW70" s="782"/>
      <c r="GX70" s="782"/>
      <c r="GY70" s="782"/>
      <c r="GZ70" s="782"/>
      <c r="HA70" s="782"/>
      <c r="HB70" s="782"/>
      <c r="HC70" s="782"/>
      <c r="HD70" s="782"/>
      <c r="HE70" s="782"/>
      <c r="HF70" s="782"/>
      <c r="HG70" s="782"/>
      <c r="HH70" s="782"/>
      <c r="HI70" s="782"/>
      <c r="HJ70" s="782"/>
      <c r="HK70" s="782"/>
      <c r="HL70" s="782"/>
      <c r="HM70" s="782"/>
      <c r="HN70" s="782"/>
      <c r="HO70" s="782"/>
      <c r="HP70" s="782"/>
      <c r="HQ70" s="782"/>
      <c r="HR70" s="782"/>
      <c r="HS70" s="782"/>
      <c r="HT70" s="782"/>
      <c r="HU70" s="782"/>
      <c r="HV70" s="782"/>
      <c r="HW70" s="782"/>
      <c r="HX70" s="782"/>
      <c r="HY70" s="782"/>
      <c r="HZ70" s="782"/>
      <c r="IA70" s="782"/>
      <c r="IB70" s="782"/>
      <c r="IC70" s="782"/>
      <c r="ID70" s="782"/>
      <c r="IE70" s="782"/>
      <c r="IF70" s="782"/>
      <c r="IG70" s="782"/>
      <c r="IH70" s="782"/>
      <c r="II70" s="782"/>
      <c r="IJ70" s="782"/>
      <c r="IK70" s="782"/>
      <c r="IL70" s="782"/>
      <c r="IM70" s="782"/>
      <c r="IN70" s="782"/>
      <c r="IO70" s="782"/>
      <c r="IP70" s="782"/>
      <c r="IQ70" s="782"/>
      <c r="IR70" s="782"/>
      <c r="IS70" s="782"/>
      <c r="IT70" s="782"/>
      <c r="IU70" s="782"/>
      <c r="IV70" s="782"/>
      <c r="IW70" s="782"/>
      <c r="IX70" s="782"/>
      <c r="IY70" s="782"/>
      <c r="IZ70" s="782"/>
      <c r="JA70" s="782"/>
      <c r="JB70" s="782"/>
      <c r="JC70" s="782"/>
      <c r="JD70" s="782"/>
      <c r="JE70" s="782"/>
      <c r="JF70" s="782"/>
      <c r="JG70" s="782"/>
      <c r="JH70" s="782"/>
      <c r="JI70" s="782"/>
      <c r="JJ70" s="782"/>
      <c r="JK70" s="782"/>
      <c r="JL70" s="782"/>
      <c r="JM70" s="782"/>
      <c r="JN70" s="782"/>
      <c r="JO70" s="782"/>
      <c r="JP70" s="782"/>
      <c r="JQ70" s="782"/>
      <c r="JR70" s="782"/>
      <c r="JS70" s="782"/>
      <c r="JT70" s="782"/>
      <c r="JU70" s="782"/>
      <c r="JV70" s="782"/>
      <c r="JW70" s="782"/>
      <c r="JX70" s="782"/>
      <c r="JY70" s="782"/>
      <c r="JZ70" s="782"/>
      <c r="KA70" s="782"/>
      <c r="KB70" s="782"/>
      <c r="KC70" s="782"/>
      <c r="KD70" s="782"/>
      <c r="KE70" s="782"/>
      <c r="KF70" s="782"/>
      <c r="KG70" s="782"/>
      <c r="KH70" s="782"/>
      <c r="KI70" s="782"/>
      <c r="KJ70" s="782"/>
      <c r="KK70" s="782"/>
      <c r="KL70" s="782"/>
      <c r="KM70" s="782"/>
      <c r="KN70" s="782"/>
      <c r="KO70" s="782"/>
      <c r="KP70" s="782"/>
      <c r="KQ70" s="782"/>
      <c r="KR70" s="782"/>
      <c r="KS70" s="782"/>
      <c r="KT70" s="782"/>
      <c r="KU70" s="782"/>
      <c r="KV70" s="782"/>
      <c r="KW70" s="782"/>
      <c r="KX70" s="782"/>
      <c r="KY70" s="782"/>
      <c r="KZ70" s="782"/>
      <c r="LA70" s="782"/>
      <c r="LB70" s="782"/>
      <c r="LC70" s="782"/>
      <c r="LD70" s="782"/>
      <c r="LE70" s="782"/>
      <c r="LF70" s="782"/>
      <c r="LG70" s="782"/>
      <c r="LH70" s="782"/>
      <c r="LI70" s="782"/>
      <c r="LJ70" s="782"/>
      <c r="LK70" s="782"/>
      <c r="LL70" s="782"/>
      <c r="LM70" s="782"/>
      <c r="LN70" s="782"/>
      <c r="LO70" s="782"/>
      <c r="LP70" s="782"/>
      <c r="LQ70" s="782"/>
      <c r="LR70" s="782"/>
      <c r="LS70" s="782"/>
      <c r="LT70" s="782"/>
      <c r="LU70" s="782"/>
      <c r="LV70" s="782"/>
      <c r="LW70" s="782"/>
      <c r="LX70" s="782"/>
      <c r="LY70" s="782"/>
      <c r="LZ70" s="782"/>
      <c r="MA70" s="782"/>
      <c r="MB70" s="782"/>
      <c r="MC70" s="782"/>
      <c r="MD70" s="782"/>
      <c r="ME70" s="782"/>
      <c r="MF70" s="782"/>
      <c r="MG70" s="782"/>
      <c r="MH70" s="782"/>
      <c r="MI70" s="782"/>
      <c r="MJ70" s="782"/>
      <c r="MK70" s="782"/>
      <c r="ML70" s="782"/>
      <c r="MM70" s="782"/>
      <c r="MN70" s="782"/>
      <c r="MO70" s="782"/>
      <c r="MP70" s="782"/>
      <c r="MQ70" s="782"/>
      <c r="MR70" s="782"/>
      <c r="MS70" s="782"/>
      <c r="MT70" s="782"/>
      <c r="MU70" s="782"/>
      <c r="MV70" s="782"/>
      <c r="MW70" s="782"/>
      <c r="MX70" s="782"/>
      <c r="MY70" s="782"/>
      <c r="MZ70" s="782"/>
      <c r="NA70" s="782"/>
      <c r="NB70" s="782"/>
      <c r="NC70" s="782"/>
      <c r="ND70" s="782"/>
      <c r="NE70" s="782"/>
      <c r="NF70" s="782"/>
      <c r="NG70" s="782"/>
      <c r="NH70" s="782"/>
      <c r="NI70" s="782"/>
      <c r="NJ70" s="782"/>
      <c r="NK70" s="782"/>
      <c r="NL70" s="782"/>
      <c r="NM70" s="782"/>
      <c r="NN70" s="782"/>
      <c r="NO70" s="782"/>
      <c r="NP70" s="782"/>
      <c r="NQ70" s="782"/>
      <c r="NR70" s="782"/>
      <c r="NS70" s="782"/>
      <c r="NT70" s="782"/>
      <c r="NU70" s="782"/>
      <c r="NV70" s="782"/>
      <c r="NW70" s="782"/>
      <c r="NX70" s="782"/>
      <c r="NY70" s="782"/>
      <c r="NZ70" s="782"/>
      <c r="OA70" s="782"/>
      <c r="OB70" s="782"/>
      <c r="OC70" s="782"/>
      <c r="OD70" s="782"/>
      <c r="OE70" s="782"/>
      <c r="OF70" s="782"/>
      <c r="OG70" s="782"/>
      <c r="OH70" s="782"/>
      <c r="OI70" s="782"/>
      <c r="OJ70" s="782"/>
      <c r="OK70" s="782"/>
      <c r="OL70" s="782"/>
      <c r="OM70" s="782"/>
      <c r="ON70" s="782"/>
      <c r="OO70" s="782"/>
      <c r="OP70" s="782"/>
      <c r="OQ70" s="782"/>
      <c r="OR70" s="782"/>
      <c r="OS70" s="782"/>
      <c r="OT70" s="782"/>
      <c r="OU70" s="782"/>
      <c r="OV70" s="782"/>
      <c r="OW70" s="782"/>
      <c r="OX70" s="782"/>
      <c r="OY70" s="782"/>
      <c r="OZ70" s="782"/>
      <c r="PA70" s="782"/>
      <c r="PB70" s="782"/>
      <c r="PC70" s="782"/>
      <c r="PD70" s="782"/>
      <c r="PE70" s="782"/>
      <c r="PF70" s="782"/>
      <c r="PG70" s="782"/>
      <c r="PH70" s="782"/>
      <c r="PI70" s="782"/>
      <c r="PJ70" s="782"/>
      <c r="PK70" s="782"/>
      <c r="PL70" s="782"/>
      <c r="PM70" s="782"/>
      <c r="PN70" s="782"/>
      <c r="PO70" s="782"/>
      <c r="PP70" s="782"/>
      <c r="PQ70" s="782"/>
      <c r="PR70" s="782"/>
      <c r="PS70" s="782"/>
      <c r="PT70" s="782"/>
      <c r="PU70" s="782"/>
      <c r="PV70" s="782"/>
      <c r="PW70" s="782"/>
      <c r="PX70" s="782"/>
      <c r="PY70" s="782"/>
      <c r="PZ70" s="782"/>
      <c r="QA70" s="782"/>
      <c r="QB70" s="782"/>
      <c r="QC70" s="782"/>
      <c r="QD70" s="782"/>
      <c r="QE70" s="782"/>
      <c r="QF70" s="782"/>
      <c r="QG70" s="782"/>
      <c r="QH70" s="782"/>
      <c r="QI70" s="782"/>
      <c r="QJ70" s="782"/>
      <c r="QK70" s="782"/>
      <c r="QL70" s="782"/>
      <c r="QM70" s="782"/>
      <c r="QN70" s="782"/>
      <c r="QO70" s="782"/>
      <c r="QP70" s="782"/>
      <c r="QQ70" s="782"/>
      <c r="QR70" s="782"/>
      <c r="QS70" s="782"/>
      <c r="QT70" s="782"/>
      <c r="QU70" s="782"/>
      <c r="QV70" s="782"/>
      <c r="QW70" s="782"/>
      <c r="QX70" s="782"/>
      <c r="QY70" s="782"/>
      <c r="QZ70" s="782"/>
      <c r="RA70" s="782"/>
      <c r="RB70" s="782"/>
      <c r="RC70" s="782"/>
      <c r="RD70" s="782"/>
      <c r="RE70" s="782"/>
      <c r="RF70" s="782"/>
      <c r="RG70" s="782"/>
      <c r="RH70" s="782"/>
      <c r="RI70" s="782"/>
      <c r="RJ70" s="782"/>
      <c r="RK70" s="782"/>
      <c r="RL70" s="782"/>
      <c r="RM70" s="782"/>
      <c r="RN70" s="782"/>
      <c r="RO70" s="782"/>
      <c r="RP70" s="782"/>
      <c r="RQ70" s="782"/>
      <c r="RR70" s="782"/>
      <c r="RS70" s="782"/>
      <c r="RT70" s="782"/>
      <c r="RU70" s="782"/>
      <c r="RV70" s="782"/>
      <c r="RW70" s="782"/>
      <c r="RX70" s="782"/>
    </row>
    <row r="71" spans="1:492" s="143" customFormat="1">
      <c r="A71" s="782"/>
      <c r="B71" s="782"/>
      <c r="C71" s="782"/>
      <c r="D71" s="782"/>
      <c r="E71" s="782"/>
      <c r="F71" s="782"/>
      <c r="G71" s="782"/>
      <c r="H71" s="782"/>
      <c r="I71" s="782"/>
      <c r="J71" s="782"/>
      <c r="K71" s="782"/>
      <c r="L71" s="782"/>
      <c r="M71" s="782"/>
      <c r="N71" s="782"/>
      <c r="O71" s="782"/>
      <c r="P71" s="782"/>
      <c r="Q71" s="782"/>
      <c r="R71" s="782"/>
      <c r="S71" s="782"/>
      <c r="T71" s="782"/>
      <c r="U71" s="782"/>
      <c r="V71" s="782"/>
      <c r="W71" s="782"/>
      <c r="X71" s="782"/>
      <c r="Y71" s="782"/>
      <c r="Z71" s="782"/>
      <c r="AA71" s="782"/>
      <c r="AB71" s="782"/>
      <c r="AC71" s="782"/>
      <c r="AD71" s="782"/>
      <c r="AE71" s="782"/>
      <c r="AF71" s="782"/>
      <c r="AG71" s="782"/>
      <c r="AH71" s="782"/>
      <c r="AI71" s="782"/>
      <c r="AJ71" s="782"/>
      <c r="AK71" s="782"/>
      <c r="AL71" s="782"/>
      <c r="AM71" s="785"/>
      <c r="AN71" s="785"/>
      <c r="AO71" s="785"/>
      <c r="AP71" s="785"/>
      <c r="AQ71" s="785"/>
      <c r="AR71" s="785"/>
      <c r="AS71" s="785"/>
      <c r="AT71" s="785"/>
      <c r="AU71" s="785"/>
      <c r="AV71" s="785"/>
      <c r="AW71" s="785"/>
      <c r="AX71" s="785"/>
      <c r="AY71" s="785"/>
      <c r="AZ71" s="785"/>
      <c r="BA71" s="785"/>
      <c r="BB71" s="785"/>
      <c r="BC71" s="785"/>
      <c r="BD71" s="785"/>
      <c r="BE71" s="785"/>
      <c r="BF71" s="785"/>
      <c r="BG71" s="785"/>
      <c r="BH71" s="785"/>
      <c r="BI71" s="785"/>
      <c r="BJ71" s="785"/>
      <c r="BK71" s="785"/>
      <c r="BL71" s="785"/>
      <c r="BM71" s="785"/>
      <c r="BN71" s="785"/>
      <c r="BO71" s="785"/>
      <c r="BP71" s="785"/>
      <c r="BQ71" s="785"/>
      <c r="BR71" s="785"/>
      <c r="BS71" s="785"/>
      <c r="BT71" s="785"/>
      <c r="BU71" s="785"/>
      <c r="BV71" s="785"/>
      <c r="BW71" s="785"/>
      <c r="BX71" s="785"/>
      <c r="BY71" s="785"/>
      <c r="BZ71" s="785"/>
      <c r="CA71" s="782"/>
      <c r="CB71" s="782"/>
      <c r="CC71" s="782"/>
      <c r="CD71" s="782"/>
      <c r="CE71" s="782"/>
      <c r="CF71" s="782"/>
      <c r="CG71" s="782"/>
      <c r="CH71" s="782"/>
      <c r="CI71" s="782"/>
      <c r="CJ71" s="782"/>
      <c r="CK71" s="782"/>
      <c r="CL71" s="782"/>
      <c r="CM71" s="782"/>
      <c r="CN71" s="782"/>
      <c r="CO71" s="782"/>
      <c r="CP71" s="782"/>
      <c r="CQ71" s="782"/>
      <c r="CR71" s="782"/>
      <c r="CS71" s="782"/>
      <c r="CT71" s="782"/>
      <c r="CU71" s="782"/>
      <c r="CV71" s="782"/>
      <c r="CW71" s="782"/>
      <c r="CX71" s="782"/>
      <c r="CY71" s="782"/>
      <c r="CZ71" s="782"/>
      <c r="DA71" s="782"/>
      <c r="DB71" s="782"/>
      <c r="DC71" s="782"/>
      <c r="DD71" s="782"/>
      <c r="DE71" s="782"/>
      <c r="DF71" s="782"/>
      <c r="DG71" s="782"/>
      <c r="DH71" s="782"/>
      <c r="DI71" s="782"/>
      <c r="DJ71" s="782"/>
      <c r="DK71" s="782"/>
      <c r="DL71" s="782"/>
      <c r="DM71" s="782"/>
      <c r="DN71" s="782"/>
      <c r="DO71" s="782"/>
      <c r="DP71" s="782"/>
      <c r="DQ71" s="782"/>
      <c r="DR71" s="782"/>
      <c r="DS71" s="782"/>
      <c r="DT71" s="782"/>
      <c r="DU71" s="782"/>
      <c r="DV71" s="782"/>
      <c r="DW71" s="782"/>
      <c r="DX71" s="782"/>
      <c r="DY71" s="782"/>
      <c r="DZ71" s="782"/>
      <c r="EA71" s="782"/>
      <c r="EB71" s="782"/>
      <c r="EC71" s="782"/>
      <c r="ED71" s="782"/>
      <c r="EE71" s="782"/>
      <c r="EF71" s="782"/>
      <c r="EG71" s="782"/>
      <c r="EH71" s="782"/>
      <c r="EI71" s="782"/>
      <c r="EJ71" s="782"/>
      <c r="EK71" s="782"/>
      <c r="EL71" s="782"/>
      <c r="EM71" s="782"/>
      <c r="EN71" s="782"/>
      <c r="EO71" s="782"/>
      <c r="EP71" s="782"/>
      <c r="EQ71" s="782"/>
      <c r="ER71" s="782"/>
      <c r="ES71" s="782"/>
      <c r="ET71" s="782"/>
      <c r="EU71" s="782"/>
      <c r="EV71" s="782"/>
      <c r="EW71" s="782"/>
      <c r="EX71" s="782"/>
      <c r="EY71" s="782"/>
      <c r="EZ71" s="782"/>
      <c r="FA71" s="782"/>
      <c r="FB71" s="782"/>
      <c r="FC71" s="782"/>
      <c r="FD71" s="782"/>
      <c r="FE71" s="782"/>
      <c r="FF71" s="782"/>
      <c r="FG71" s="782"/>
      <c r="FH71" s="782"/>
      <c r="FI71" s="782"/>
      <c r="FJ71" s="782"/>
      <c r="FK71" s="782"/>
      <c r="FL71" s="782"/>
      <c r="FM71" s="782"/>
      <c r="FN71" s="782"/>
      <c r="FO71" s="782"/>
      <c r="FP71" s="782"/>
      <c r="FQ71" s="782"/>
      <c r="FR71" s="782"/>
      <c r="FS71" s="782"/>
      <c r="FT71" s="782"/>
      <c r="FU71" s="782"/>
      <c r="FV71" s="782"/>
      <c r="FW71" s="782"/>
      <c r="FX71" s="782"/>
      <c r="FY71" s="782"/>
      <c r="FZ71" s="782"/>
      <c r="GA71" s="782"/>
      <c r="GB71" s="782"/>
      <c r="GC71" s="782"/>
      <c r="GD71" s="782"/>
      <c r="GE71" s="782"/>
      <c r="GF71" s="782"/>
      <c r="GG71" s="782"/>
      <c r="GH71" s="782"/>
      <c r="GI71" s="782"/>
      <c r="GJ71" s="782"/>
      <c r="GK71" s="782"/>
      <c r="GL71" s="782"/>
      <c r="GM71" s="782"/>
      <c r="GN71" s="782"/>
      <c r="GO71" s="782"/>
      <c r="GP71" s="782"/>
      <c r="GQ71" s="782"/>
      <c r="GR71" s="782"/>
      <c r="GS71" s="782"/>
      <c r="GT71" s="782"/>
      <c r="GU71" s="782"/>
      <c r="GV71" s="782"/>
      <c r="GW71" s="782"/>
      <c r="GX71" s="782"/>
      <c r="GY71" s="782"/>
      <c r="GZ71" s="782"/>
      <c r="HA71" s="782"/>
      <c r="HB71" s="782"/>
      <c r="HC71" s="782"/>
      <c r="HD71" s="782"/>
      <c r="HE71" s="782"/>
      <c r="HF71" s="782"/>
      <c r="HG71" s="782"/>
      <c r="HH71" s="782"/>
      <c r="HI71" s="782"/>
      <c r="HJ71" s="782"/>
      <c r="HK71" s="782"/>
      <c r="HL71" s="782"/>
      <c r="HM71" s="782"/>
      <c r="HN71" s="782"/>
      <c r="HO71" s="782"/>
      <c r="HP71" s="782"/>
      <c r="HQ71" s="782"/>
      <c r="HR71" s="782"/>
      <c r="HS71" s="782"/>
      <c r="HT71" s="782"/>
      <c r="HU71" s="782"/>
      <c r="HV71" s="782"/>
      <c r="HW71" s="782"/>
      <c r="HX71" s="782"/>
      <c r="HY71" s="782"/>
      <c r="HZ71" s="782"/>
      <c r="IA71" s="782"/>
      <c r="IB71" s="782"/>
      <c r="IC71" s="782"/>
      <c r="ID71" s="782"/>
      <c r="IE71" s="782"/>
      <c r="IF71" s="782"/>
      <c r="IG71" s="782"/>
      <c r="IH71" s="782"/>
      <c r="II71" s="782"/>
      <c r="IJ71" s="782"/>
      <c r="IK71" s="782"/>
      <c r="IL71" s="782"/>
      <c r="IM71" s="782"/>
      <c r="IN71" s="782"/>
      <c r="IO71" s="782"/>
      <c r="IP71" s="782"/>
      <c r="IQ71" s="782"/>
      <c r="IR71" s="782"/>
      <c r="IS71" s="782"/>
      <c r="IT71" s="782"/>
      <c r="IU71" s="782"/>
      <c r="IV71" s="782"/>
      <c r="IW71" s="782"/>
      <c r="IX71" s="782"/>
      <c r="IY71" s="782"/>
      <c r="IZ71" s="782"/>
      <c r="JA71" s="782"/>
      <c r="JB71" s="782"/>
      <c r="JC71" s="782"/>
      <c r="JD71" s="782"/>
      <c r="JE71" s="782"/>
      <c r="JF71" s="782"/>
      <c r="JG71" s="782"/>
      <c r="JH71" s="782"/>
      <c r="JI71" s="782"/>
      <c r="JJ71" s="782"/>
      <c r="JK71" s="782"/>
      <c r="JL71" s="782"/>
      <c r="JM71" s="782"/>
      <c r="JN71" s="782"/>
      <c r="JO71" s="782"/>
      <c r="JP71" s="782"/>
      <c r="JQ71" s="782"/>
      <c r="JR71" s="782"/>
      <c r="JS71" s="782"/>
      <c r="JT71" s="782"/>
      <c r="JU71" s="782"/>
      <c r="JV71" s="782"/>
      <c r="JW71" s="782"/>
      <c r="JX71" s="782"/>
      <c r="JY71" s="782"/>
      <c r="JZ71" s="782"/>
      <c r="KA71" s="782"/>
      <c r="KB71" s="782"/>
      <c r="KC71" s="782"/>
      <c r="KD71" s="782"/>
      <c r="KE71" s="782"/>
      <c r="KF71" s="782"/>
      <c r="KG71" s="782"/>
      <c r="KH71" s="782"/>
      <c r="KI71" s="782"/>
      <c r="KJ71" s="782"/>
      <c r="KK71" s="782"/>
      <c r="KL71" s="782"/>
      <c r="KM71" s="782"/>
      <c r="KN71" s="782"/>
      <c r="KO71" s="782"/>
      <c r="KP71" s="782"/>
      <c r="KQ71" s="782"/>
      <c r="KR71" s="782"/>
      <c r="KS71" s="782"/>
      <c r="KT71" s="782"/>
      <c r="KU71" s="782"/>
      <c r="KV71" s="782"/>
      <c r="KW71" s="782"/>
      <c r="KX71" s="782"/>
      <c r="KY71" s="782"/>
      <c r="KZ71" s="782"/>
      <c r="LA71" s="782"/>
      <c r="LB71" s="782"/>
      <c r="LC71" s="782"/>
      <c r="LD71" s="782"/>
      <c r="LE71" s="782"/>
      <c r="LF71" s="782"/>
      <c r="LG71" s="782"/>
      <c r="LH71" s="782"/>
      <c r="LI71" s="782"/>
      <c r="LJ71" s="782"/>
      <c r="LK71" s="782"/>
      <c r="LL71" s="782"/>
      <c r="LM71" s="782"/>
      <c r="LN71" s="782"/>
      <c r="LO71" s="782"/>
      <c r="LP71" s="782"/>
      <c r="LQ71" s="782"/>
      <c r="LR71" s="782"/>
      <c r="LS71" s="782"/>
      <c r="LT71" s="782"/>
      <c r="LU71" s="782"/>
      <c r="LV71" s="782"/>
      <c r="LW71" s="782"/>
      <c r="LX71" s="782"/>
      <c r="LY71" s="782"/>
      <c r="LZ71" s="782"/>
      <c r="MA71" s="782"/>
      <c r="MB71" s="782"/>
      <c r="MC71" s="782"/>
      <c r="MD71" s="782"/>
      <c r="ME71" s="782"/>
      <c r="MF71" s="782"/>
      <c r="MG71" s="782"/>
      <c r="MH71" s="782"/>
      <c r="MI71" s="782"/>
      <c r="MJ71" s="782"/>
      <c r="MK71" s="782"/>
      <c r="ML71" s="782"/>
      <c r="MM71" s="782"/>
      <c r="MN71" s="782"/>
      <c r="MO71" s="782"/>
      <c r="MP71" s="782"/>
      <c r="MQ71" s="782"/>
      <c r="MR71" s="782"/>
      <c r="MS71" s="782"/>
      <c r="MT71" s="782"/>
      <c r="MU71" s="782"/>
      <c r="MV71" s="782"/>
      <c r="MW71" s="782"/>
      <c r="MX71" s="782"/>
      <c r="MY71" s="782"/>
      <c r="MZ71" s="782"/>
      <c r="NA71" s="782"/>
      <c r="NB71" s="782"/>
      <c r="NC71" s="782"/>
      <c r="ND71" s="782"/>
      <c r="NE71" s="782"/>
      <c r="NF71" s="782"/>
      <c r="NG71" s="782"/>
      <c r="NH71" s="782"/>
      <c r="NI71" s="782"/>
      <c r="NJ71" s="782"/>
      <c r="NK71" s="782"/>
      <c r="NL71" s="782"/>
      <c r="NM71" s="782"/>
      <c r="NN71" s="782"/>
      <c r="NO71" s="782"/>
      <c r="NP71" s="782"/>
      <c r="NQ71" s="782"/>
      <c r="NR71" s="782"/>
      <c r="NS71" s="782"/>
      <c r="NT71" s="782"/>
      <c r="NU71" s="782"/>
      <c r="NV71" s="782"/>
      <c r="NW71" s="782"/>
      <c r="NX71" s="782"/>
      <c r="NY71" s="782"/>
      <c r="NZ71" s="782"/>
      <c r="OA71" s="782"/>
      <c r="OB71" s="782"/>
      <c r="OC71" s="782"/>
      <c r="OD71" s="782"/>
      <c r="OE71" s="782"/>
      <c r="OF71" s="782"/>
      <c r="OG71" s="782"/>
      <c r="OH71" s="782"/>
      <c r="OI71" s="782"/>
      <c r="OJ71" s="782"/>
      <c r="OK71" s="782"/>
      <c r="OL71" s="782"/>
      <c r="OM71" s="782"/>
      <c r="ON71" s="782"/>
      <c r="OO71" s="782"/>
      <c r="OP71" s="782"/>
      <c r="OQ71" s="782"/>
      <c r="OR71" s="782"/>
      <c r="OS71" s="782"/>
      <c r="OT71" s="782"/>
      <c r="OU71" s="782"/>
      <c r="OV71" s="782"/>
      <c r="OW71" s="782"/>
      <c r="OX71" s="782"/>
      <c r="OY71" s="782"/>
      <c r="OZ71" s="782"/>
      <c r="PA71" s="782"/>
      <c r="PB71" s="782"/>
      <c r="PC71" s="782"/>
      <c r="PD71" s="782"/>
      <c r="PE71" s="782"/>
      <c r="PF71" s="782"/>
      <c r="PG71" s="782"/>
      <c r="PH71" s="782"/>
      <c r="PI71" s="782"/>
      <c r="PJ71" s="782"/>
      <c r="PK71" s="782"/>
      <c r="PL71" s="782"/>
      <c r="PM71" s="782"/>
      <c r="PN71" s="782"/>
      <c r="PO71" s="782"/>
      <c r="PP71" s="782"/>
      <c r="PQ71" s="782"/>
      <c r="PR71" s="782"/>
      <c r="PS71" s="782"/>
      <c r="PT71" s="782"/>
      <c r="PU71" s="782"/>
      <c r="PV71" s="782"/>
      <c r="PW71" s="782"/>
      <c r="PX71" s="782"/>
      <c r="PY71" s="782"/>
      <c r="PZ71" s="782"/>
      <c r="QA71" s="782"/>
      <c r="QB71" s="782"/>
      <c r="QC71" s="782"/>
      <c r="QD71" s="782"/>
      <c r="QE71" s="782"/>
      <c r="QF71" s="782"/>
      <c r="QG71" s="782"/>
      <c r="QH71" s="782"/>
      <c r="QI71" s="782"/>
      <c r="QJ71" s="782"/>
      <c r="QK71" s="782"/>
      <c r="QL71" s="782"/>
      <c r="QM71" s="782"/>
      <c r="QN71" s="782"/>
      <c r="QO71" s="782"/>
      <c r="QP71" s="782"/>
      <c r="QQ71" s="782"/>
      <c r="QR71" s="782"/>
      <c r="QS71" s="782"/>
      <c r="QT71" s="782"/>
      <c r="QU71" s="782"/>
      <c r="QV71" s="782"/>
      <c r="QW71" s="782"/>
      <c r="QX71" s="782"/>
      <c r="QY71" s="782"/>
      <c r="QZ71" s="782"/>
      <c r="RA71" s="782"/>
      <c r="RB71" s="782"/>
      <c r="RC71" s="782"/>
      <c r="RD71" s="782"/>
      <c r="RE71" s="782"/>
      <c r="RF71" s="782"/>
      <c r="RG71" s="782"/>
      <c r="RH71" s="782"/>
      <c r="RI71" s="782"/>
      <c r="RJ71" s="782"/>
      <c r="RK71" s="782"/>
      <c r="RL71" s="782"/>
      <c r="RM71" s="782"/>
      <c r="RN71" s="782"/>
      <c r="RO71" s="782"/>
      <c r="RP71" s="782"/>
      <c r="RQ71" s="782"/>
      <c r="RR71" s="782"/>
      <c r="RS71" s="782"/>
      <c r="RT71" s="782"/>
      <c r="RU71" s="782"/>
      <c r="RV71" s="782"/>
      <c r="RW71" s="782"/>
      <c r="RX71" s="782"/>
    </row>
    <row r="72" spans="1:492" s="143" customFormat="1">
      <c r="A72" s="782"/>
      <c r="B72" s="782"/>
      <c r="C72" s="782"/>
      <c r="D72" s="782"/>
      <c r="E72" s="782"/>
      <c r="F72" s="782"/>
      <c r="G72" s="782"/>
      <c r="H72" s="782"/>
      <c r="I72" s="782"/>
      <c r="J72" s="782"/>
      <c r="K72" s="782"/>
      <c r="L72" s="782"/>
      <c r="M72" s="782"/>
      <c r="N72" s="782"/>
      <c r="O72" s="782"/>
      <c r="P72" s="782"/>
      <c r="Q72" s="782"/>
      <c r="R72" s="782"/>
      <c r="S72" s="782"/>
      <c r="T72" s="782"/>
      <c r="U72" s="782"/>
      <c r="V72" s="782"/>
      <c r="W72" s="782"/>
      <c r="X72" s="782"/>
      <c r="Y72" s="782"/>
      <c r="Z72" s="782"/>
      <c r="AA72" s="782"/>
      <c r="AB72" s="782"/>
      <c r="AC72" s="782"/>
      <c r="AD72" s="782"/>
      <c r="AE72" s="782"/>
      <c r="AF72" s="782"/>
      <c r="AG72" s="782"/>
      <c r="AH72" s="782"/>
      <c r="AI72" s="782"/>
      <c r="AJ72" s="782"/>
      <c r="AK72" s="782"/>
      <c r="AL72" s="782"/>
      <c r="AM72" s="785"/>
      <c r="AN72" s="785"/>
      <c r="AO72" s="785"/>
      <c r="AP72" s="785"/>
      <c r="AQ72" s="785"/>
      <c r="AR72" s="785"/>
      <c r="AS72" s="785"/>
      <c r="AT72" s="785"/>
      <c r="AU72" s="785"/>
      <c r="AV72" s="785"/>
      <c r="AW72" s="785"/>
      <c r="AX72" s="785"/>
      <c r="AY72" s="785"/>
      <c r="AZ72" s="785"/>
      <c r="BA72" s="785"/>
      <c r="BB72" s="785"/>
      <c r="BC72" s="785"/>
      <c r="BD72" s="785"/>
      <c r="BE72" s="785"/>
      <c r="BF72" s="785"/>
      <c r="BG72" s="785"/>
      <c r="BH72" s="785"/>
      <c r="BI72" s="785"/>
      <c r="BJ72" s="785"/>
      <c r="BK72" s="785"/>
      <c r="BL72" s="785"/>
      <c r="BM72" s="785"/>
      <c r="BN72" s="785"/>
      <c r="BO72" s="785"/>
      <c r="BP72" s="785"/>
      <c r="BQ72" s="785"/>
      <c r="BR72" s="785"/>
      <c r="BS72" s="785"/>
      <c r="BT72" s="785"/>
      <c r="BU72" s="785"/>
      <c r="BV72" s="785"/>
      <c r="BW72" s="785"/>
      <c r="BX72" s="785"/>
      <c r="BY72" s="785"/>
      <c r="BZ72" s="785"/>
      <c r="CA72" s="782"/>
      <c r="CB72" s="782"/>
      <c r="CC72" s="782"/>
      <c r="CD72" s="782"/>
      <c r="CE72" s="782"/>
      <c r="CF72" s="782"/>
      <c r="CG72" s="782"/>
      <c r="CH72" s="782"/>
      <c r="CI72" s="782"/>
      <c r="CJ72" s="782"/>
      <c r="CK72" s="782"/>
      <c r="CL72" s="782"/>
      <c r="CM72" s="782"/>
      <c r="CN72" s="782"/>
      <c r="CO72" s="782"/>
      <c r="CP72" s="782"/>
      <c r="CQ72" s="782"/>
      <c r="CR72" s="782"/>
      <c r="CS72" s="782"/>
      <c r="CT72" s="782"/>
      <c r="CU72" s="782"/>
      <c r="CV72" s="782"/>
      <c r="CW72" s="782"/>
      <c r="CX72" s="782"/>
      <c r="CY72" s="782"/>
      <c r="CZ72" s="782"/>
      <c r="DA72" s="782"/>
      <c r="DB72" s="782"/>
      <c r="DC72" s="782"/>
      <c r="DD72" s="782"/>
      <c r="DE72" s="782"/>
      <c r="DF72" s="782"/>
      <c r="DG72" s="782"/>
      <c r="DH72" s="782"/>
      <c r="DI72" s="782"/>
      <c r="DJ72" s="782"/>
      <c r="DK72" s="782"/>
      <c r="DL72" s="782"/>
      <c r="DM72" s="782"/>
      <c r="DN72" s="782"/>
      <c r="DO72" s="782"/>
      <c r="DP72" s="782"/>
      <c r="DQ72" s="782"/>
      <c r="DR72" s="782"/>
      <c r="DS72" s="782"/>
      <c r="DT72" s="782"/>
      <c r="DU72" s="782"/>
      <c r="DV72" s="782"/>
      <c r="DW72" s="782"/>
      <c r="DX72" s="782"/>
      <c r="DY72" s="782"/>
      <c r="DZ72" s="782"/>
      <c r="EA72" s="782"/>
      <c r="EB72" s="782"/>
      <c r="EC72" s="782"/>
      <c r="ED72" s="782"/>
      <c r="EE72" s="782"/>
      <c r="EF72" s="782"/>
      <c r="EG72" s="782"/>
      <c r="EH72" s="782"/>
      <c r="EI72" s="782"/>
      <c r="EJ72" s="782"/>
      <c r="EK72" s="782"/>
      <c r="EL72" s="782"/>
      <c r="EM72" s="782"/>
      <c r="EN72" s="782"/>
      <c r="EO72" s="782"/>
      <c r="EP72" s="782"/>
      <c r="EQ72" s="782"/>
      <c r="ER72" s="782"/>
      <c r="ES72" s="782"/>
      <c r="ET72" s="782"/>
      <c r="EU72" s="782"/>
      <c r="EV72" s="782"/>
      <c r="EW72" s="782"/>
      <c r="EX72" s="782"/>
      <c r="EY72" s="782"/>
      <c r="EZ72" s="782"/>
      <c r="FA72" s="782"/>
      <c r="FB72" s="782"/>
      <c r="FC72" s="782"/>
      <c r="FD72" s="782"/>
      <c r="FE72" s="782"/>
      <c r="FF72" s="782"/>
      <c r="FG72" s="782"/>
      <c r="FH72" s="782"/>
      <c r="FI72" s="782"/>
      <c r="FJ72" s="782"/>
      <c r="FK72" s="782"/>
      <c r="FL72" s="782"/>
      <c r="FM72" s="782"/>
      <c r="FN72" s="782"/>
      <c r="FO72" s="782"/>
      <c r="FP72" s="782"/>
      <c r="FQ72" s="782"/>
      <c r="FR72" s="782"/>
      <c r="FS72" s="782"/>
      <c r="FT72" s="782"/>
      <c r="FU72" s="782"/>
      <c r="FV72" s="782"/>
      <c r="FW72" s="782"/>
      <c r="FX72" s="782"/>
      <c r="FY72" s="782"/>
      <c r="FZ72" s="782"/>
      <c r="GA72" s="782"/>
      <c r="GB72" s="782"/>
      <c r="GC72" s="782"/>
      <c r="GD72" s="782"/>
      <c r="GE72" s="782"/>
      <c r="GF72" s="782"/>
      <c r="GG72" s="782"/>
      <c r="GH72" s="782"/>
      <c r="GI72" s="782"/>
      <c r="GJ72" s="782"/>
      <c r="GK72" s="782"/>
      <c r="GL72" s="782"/>
      <c r="GM72" s="782"/>
      <c r="GN72" s="782"/>
      <c r="GO72" s="782"/>
      <c r="GP72" s="782"/>
      <c r="GQ72" s="782"/>
      <c r="GR72" s="782"/>
      <c r="GS72" s="782"/>
      <c r="GT72" s="782"/>
      <c r="GU72" s="782"/>
      <c r="GV72" s="782"/>
      <c r="GW72" s="782"/>
      <c r="GX72" s="782"/>
      <c r="GY72" s="782"/>
      <c r="GZ72" s="782"/>
      <c r="HA72" s="782"/>
      <c r="HB72" s="782"/>
      <c r="HC72" s="782"/>
      <c r="HD72" s="782"/>
      <c r="HE72" s="782"/>
      <c r="HF72" s="782"/>
      <c r="HG72" s="782"/>
      <c r="HH72" s="782"/>
      <c r="HI72" s="782"/>
      <c r="HJ72" s="782"/>
      <c r="HK72" s="782"/>
      <c r="HL72" s="782"/>
      <c r="HM72" s="782"/>
      <c r="HN72" s="782"/>
      <c r="HO72" s="782"/>
      <c r="HP72" s="782"/>
      <c r="HQ72" s="782"/>
      <c r="HR72" s="782"/>
      <c r="HS72" s="782"/>
      <c r="HT72" s="782"/>
      <c r="HU72" s="782"/>
      <c r="HV72" s="782"/>
      <c r="HW72" s="782"/>
      <c r="HX72" s="782"/>
      <c r="HY72" s="782"/>
      <c r="HZ72" s="782"/>
      <c r="IA72" s="782"/>
      <c r="IB72" s="782"/>
      <c r="IC72" s="782"/>
      <c r="ID72" s="782"/>
      <c r="IE72" s="782"/>
      <c r="IF72" s="782"/>
      <c r="IG72" s="782"/>
      <c r="IH72" s="782"/>
      <c r="II72" s="782"/>
      <c r="IJ72" s="782"/>
      <c r="IK72" s="782"/>
      <c r="IL72" s="782"/>
      <c r="IM72" s="782"/>
      <c r="IN72" s="782"/>
      <c r="IO72" s="782"/>
      <c r="IP72" s="782"/>
      <c r="IQ72" s="782"/>
      <c r="IR72" s="782"/>
      <c r="IS72" s="782"/>
      <c r="IT72" s="782"/>
      <c r="IU72" s="782"/>
      <c r="IV72" s="782"/>
      <c r="IW72" s="782"/>
      <c r="IX72" s="782"/>
      <c r="IY72" s="782"/>
      <c r="IZ72" s="782"/>
      <c r="JA72" s="782"/>
      <c r="JB72" s="782"/>
      <c r="JC72" s="782"/>
      <c r="JD72" s="782"/>
      <c r="JE72" s="782"/>
      <c r="JF72" s="782"/>
      <c r="JG72" s="782"/>
      <c r="JH72" s="782"/>
      <c r="JI72" s="782"/>
      <c r="JJ72" s="782"/>
      <c r="JK72" s="782"/>
      <c r="JL72" s="782"/>
      <c r="JM72" s="782"/>
      <c r="JN72" s="782"/>
      <c r="JO72" s="782"/>
      <c r="JP72" s="782"/>
      <c r="JQ72" s="782"/>
      <c r="JR72" s="782"/>
      <c r="JS72" s="782"/>
      <c r="JT72" s="782"/>
      <c r="JU72" s="782"/>
      <c r="JV72" s="782"/>
      <c r="JW72" s="782"/>
      <c r="JX72" s="782"/>
      <c r="JY72" s="782"/>
      <c r="JZ72" s="782"/>
      <c r="KA72" s="782"/>
      <c r="KB72" s="782"/>
      <c r="KC72" s="782"/>
      <c r="KD72" s="782"/>
      <c r="KE72" s="782"/>
      <c r="KF72" s="782"/>
      <c r="KG72" s="782"/>
      <c r="KH72" s="782"/>
      <c r="KI72" s="782"/>
      <c r="KJ72" s="782"/>
      <c r="KK72" s="782"/>
      <c r="KL72" s="782"/>
      <c r="KM72" s="782"/>
      <c r="KN72" s="782"/>
      <c r="KO72" s="782"/>
      <c r="KP72" s="782"/>
      <c r="KQ72" s="782"/>
      <c r="KR72" s="782"/>
      <c r="KS72" s="782"/>
      <c r="KT72" s="782"/>
      <c r="KU72" s="782"/>
      <c r="KV72" s="782"/>
      <c r="KW72" s="782"/>
      <c r="KX72" s="782"/>
      <c r="KY72" s="782"/>
      <c r="KZ72" s="782"/>
      <c r="LA72" s="782"/>
      <c r="LB72" s="782"/>
      <c r="LC72" s="782"/>
      <c r="LD72" s="782"/>
      <c r="LE72" s="782"/>
      <c r="LF72" s="782"/>
      <c r="LG72" s="782"/>
      <c r="LH72" s="782"/>
      <c r="LI72" s="782"/>
      <c r="LJ72" s="782"/>
      <c r="LK72" s="782"/>
      <c r="LL72" s="782"/>
      <c r="LM72" s="782"/>
      <c r="LN72" s="782"/>
      <c r="LO72" s="782"/>
      <c r="LP72" s="782"/>
      <c r="LQ72" s="782"/>
      <c r="LR72" s="782"/>
      <c r="LS72" s="782"/>
      <c r="LT72" s="782"/>
      <c r="LU72" s="782"/>
      <c r="LV72" s="782"/>
      <c r="LW72" s="782"/>
      <c r="LX72" s="782"/>
      <c r="LY72" s="782"/>
      <c r="LZ72" s="782"/>
      <c r="MA72" s="782"/>
      <c r="MB72" s="782"/>
      <c r="MC72" s="782"/>
      <c r="MD72" s="782"/>
      <c r="ME72" s="782"/>
      <c r="MF72" s="782"/>
      <c r="MG72" s="782"/>
      <c r="MH72" s="782"/>
      <c r="MI72" s="782"/>
      <c r="MJ72" s="782"/>
      <c r="MK72" s="782"/>
      <c r="ML72" s="782"/>
      <c r="MM72" s="782"/>
      <c r="MN72" s="782"/>
      <c r="MO72" s="782"/>
      <c r="MP72" s="782"/>
      <c r="MQ72" s="782"/>
      <c r="MR72" s="782"/>
      <c r="MS72" s="782"/>
      <c r="MT72" s="782"/>
      <c r="MU72" s="782"/>
      <c r="MV72" s="782"/>
      <c r="MW72" s="782"/>
      <c r="MX72" s="782"/>
      <c r="MY72" s="782"/>
      <c r="MZ72" s="782"/>
      <c r="NA72" s="782"/>
      <c r="NB72" s="782"/>
      <c r="NC72" s="782"/>
      <c r="ND72" s="782"/>
      <c r="NE72" s="782"/>
      <c r="NF72" s="782"/>
      <c r="NG72" s="782"/>
      <c r="NH72" s="782"/>
      <c r="NI72" s="782"/>
      <c r="NJ72" s="782"/>
      <c r="NK72" s="782"/>
      <c r="NL72" s="782"/>
      <c r="NM72" s="782"/>
      <c r="NN72" s="782"/>
      <c r="NO72" s="782"/>
      <c r="NP72" s="782"/>
      <c r="NQ72" s="782"/>
      <c r="NR72" s="782"/>
      <c r="NS72" s="782"/>
      <c r="NT72" s="782"/>
      <c r="NU72" s="782"/>
      <c r="NV72" s="782"/>
      <c r="NW72" s="782"/>
      <c r="NX72" s="782"/>
      <c r="NY72" s="782"/>
      <c r="NZ72" s="782"/>
      <c r="OA72" s="782"/>
      <c r="OB72" s="782"/>
      <c r="OC72" s="782"/>
      <c r="OD72" s="782"/>
      <c r="OE72" s="782"/>
      <c r="OF72" s="782"/>
      <c r="OG72" s="782"/>
      <c r="OH72" s="782"/>
      <c r="OI72" s="782"/>
      <c r="OJ72" s="782"/>
      <c r="OK72" s="782"/>
      <c r="OL72" s="782"/>
      <c r="OM72" s="782"/>
      <c r="ON72" s="782"/>
      <c r="OO72" s="782"/>
      <c r="OP72" s="782"/>
      <c r="OQ72" s="782"/>
      <c r="OR72" s="782"/>
      <c r="OS72" s="782"/>
      <c r="OT72" s="782"/>
      <c r="OU72" s="782"/>
      <c r="OV72" s="782"/>
      <c r="OW72" s="782"/>
      <c r="OX72" s="782"/>
      <c r="OY72" s="782"/>
      <c r="OZ72" s="782"/>
      <c r="PA72" s="782"/>
      <c r="PB72" s="782"/>
      <c r="PC72" s="782"/>
      <c r="PD72" s="782"/>
      <c r="PE72" s="782"/>
      <c r="PF72" s="782"/>
      <c r="PG72" s="782"/>
      <c r="PH72" s="782"/>
      <c r="PI72" s="782"/>
      <c r="PJ72" s="782"/>
      <c r="PK72" s="782"/>
      <c r="PL72" s="782"/>
      <c r="PM72" s="782"/>
      <c r="PN72" s="782"/>
      <c r="PO72" s="782"/>
      <c r="PP72" s="782"/>
      <c r="PQ72" s="782"/>
      <c r="PR72" s="782"/>
      <c r="PS72" s="782"/>
      <c r="PT72" s="782"/>
      <c r="PU72" s="782"/>
      <c r="PV72" s="782"/>
      <c r="PW72" s="782"/>
      <c r="PX72" s="782"/>
      <c r="PY72" s="782"/>
      <c r="PZ72" s="782"/>
      <c r="QA72" s="782"/>
      <c r="QB72" s="782"/>
      <c r="QC72" s="782"/>
      <c r="QD72" s="782"/>
      <c r="QE72" s="782"/>
      <c r="QF72" s="782"/>
      <c r="QG72" s="782"/>
      <c r="QH72" s="782"/>
      <c r="QI72" s="782"/>
      <c r="QJ72" s="782"/>
      <c r="QK72" s="782"/>
      <c r="QL72" s="782"/>
      <c r="QM72" s="782"/>
      <c r="QN72" s="782"/>
      <c r="QO72" s="782"/>
      <c r="QP72" s="782"/>
      <c r="QQ72" s="782"/>
      <c r="QR72" s="782"/>
      <c r="QS72" s="782"/>
      <c r="QT72" s="782"/>
      <c r="QU72" s="782"/>
      <c r="QV72" s="782"/>
      <c r="QW72" s="782"/>
      <c r="QX72" s="782"/>
      <c r="QY72" s="782"/>
      <c r="QZ72" s="782"/>
      <c r="RA72" s="782"/>
      <c r="RB72" s="782"/>
      <c r="RC72" s="782"/>
      <c r="RD72" s="782"/>
      <c r="RE72" s="782"/>
      <c r="RF72" s="782"/>
      <c r="RG72" s="782"/>
      <c r="RH72" s="782"/>
      <c r="RI72" s="782"/>
      <c r="RJ72" s="782"/>
      <c r="RK72" s="782"/>
      <c r="RL72" s="782"/>
      <c r="RM72" s="782"/>
      <c r="RN72" s="782"/>
      <c r="RO72" s="782"/>
      <c r="RP72" s="782"/>
      <c r="RQ72" s="782"/>
      <c r="RR72" s="782"/>
      <c r="RS72" s="782"/>
      <c r="RT72" s="782"/>
      <c r="RU72" s="782"/>
      <c r="RV72" s="782"/>
      <c r="RW72" s="782"/>
      <c r="RX72" s="782"/>
    </row>
    <row r="73" spans="1:492" s="143" customFormat="1">
      <c r="A73" s="782"/>
      <c r="B73" s="782"/>
      <c r="C73" s="782"/>
      <c r="D73" s="782"/>
      <c r="E73" s="782"/>
      <c r="F73" s="782"/>
      <c r="G73" s="782"/>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782"/>
      <c r="AL73" s="782"/>
      <c r="AM73" s="785"/>
      <c r="AN73" s="785"/>
      <c r="AO73" s="785"/>
      <c r="AP73" s="785"/>
      <c r="AQ73" s="785"/>
      <c r="AR73" s="785"/>
      <c r="AS73" s="785"/>
      <c r="AT73" s="785"/>
      <c r="AU73" s="785"/>
      <c r="AV73" s="785"/>
      <c r="AW73" s="785"/>
      <c r="AX73" s="785"/>
      <c r="AY73" s="785"/>
      <c r="AZ73" s="785"/>
      <c r="BA73" s="785"/>
      <c r="BB73" s="785"/>
      <c r="BC73" s="785"/>
      <c r="BD73" s="785"/>
      <c r="BE73" s="785"/>
      <c r="BF73" s="785"/>
      <c r="BG73" s="785"/>
      <c r="BH73" s="785"/>
      <c r="BI73" s="785"/>
      <c r="BJ73" s="785"/>
      <c r="BK73" s="785"/>
      <c r="BL73" s="785"/>
      <c r="BM73" s="785"/>
      <c r="BN73" s="785"/>
      <c r="BO73" s="785"/>
      <c r="BP73" s="785"/>
      <c r="BQ73" s="785"/>
      <c r="BR73" s="785"/>
      <c r="BS73" s="785"/>
      <c r="BT73" s="785"/>
      <c r="BU73" s="785"/>
      <c r="BV73" s="785"/>
      <c r="BW73" s="785"/>
      <c r="BX73" s="785"/>
      <c r="BY73" s="785"/>
      <c r="BZ73" s="785"/>
      <c r="CA73" s="782"/>
      <c r="CB73" s="782"/>
      <c r="CC73" s="782"/>
      <c r="CD73" s="782"/>
      <c r="CE73" s="782"/>
      <c r="CF73" s="782"/>
      <c r="CG73" s="782"/>
      <c r="CH73" s="782"/>
      <c r="CI73" s="782"/>
      <c r="CJ73" s="782"/>
      <c r="CK73" s="782"/>
      <c r="CL73" s="782"/>
      <c r="CM73" s="782"/>
      <c r="CN73" s="782"/>
      <c r="CO73" s="782"/>
      <c r="CP73" s="782"/>
      <c r="CQ73" s="782"/>
      <c r="CR73" s="782"/>
      <c r="CS73" s="782"/>
      <c r="CT73" s="782"/>
      <c r="CU73" s="782"/>
      <c r="CV73" s="782"/>
      <c r="CW73" s="782"/>
      <c r="CX73" s="782"/>
      <c r="CY73" s="782"/>
      <c r="CZ73" s="782"/>
      <c r="DA73" s="782"/>
      <c r="DB73" s="782"/>
      <c r="DC73" s="782"/>
      <c r="DD73" s="782"/>
      <c r="DE73" s="782"/>
      <c r="DF73" s="782"/>
      <c r="DG73" s="782"/>
      <c r="DH73" s="782"/>
      <c r="DI73" s="782"/>
      <c r="DJ73" s="782"/>
      <c r="DK73" s="782"/>
      <c r="DL73" s="782"/>
      <c r="DM73" s="782"/>
      <c r="DN73" s="782"/>
      <c r="DO73" s="782"/>
      <c r="DP73" s="782"/>
      <c r="DQ73" s="782"/>
      <c r="DR73" s="782"/>
      <c r="DS73" s="782"/>
      <c r="DT73" s="782"/>
      <c r="DU73" s="782"/>
      <c r="DV73" s="782"/>
      <c r="DW73" s="782"/>
      <c r="DX73" s="782"/>
      <c r="DY73" s="782"/>
      <c r="DZ73" s="782"/>
      <c r="EA73" s="782"/>
      <c r="EB73" s="782"/>
      <c r="EC73" s="782"/>
      <c r="ED73" s="782"/>
      <c r="EE73" s="782"/>
      <c r="EF73" s="782"/>
      <c r="EG73" s="782"/>
      <c r="EH73" s="782"/>
      <c r="EI73" s="782"/>
      <c r="EJ73" s="782"/>
      <c r="EK73" s="782"/>
      <c r="EL73" s="782"/>
      <c r="EM73" s="782"/>
      <c r="EN73" s="782"/>
      <c r="EO73" s="782"/>
      <c r="EP73" s="782"/>
      <c r="EQ73" s="782"/>
      <c r="ER73" s="782"/>
      <c r="ES73" s="782"/>
      <c r="ET73" s="782"/>
      <c r="EU73" s="782"/>
      <c r="EV73" s="782"/>
      <c r="EW73" s="782"/>
      <c r="EX73" s="782"/>
      <c r="EY73" s="782"/>
      <c r="EZ73" s="782"/>
      <c r="FA73" s="782"/>
      <c r="FB73" s="782"/>
      <c r="FC73" s="782"/>
      <c r="FD73" s="782"/>
      <c r="FE73" s="782"/>
      <c r="FF73" s="782"/>
      <c r="FG73" s="782"/>
      <c r="FH73" s="782"/>
      <c r="FI73" s="782"/>
      <c r="FJ73" s="782"/>
      <c r="FK73" s="782"/>
      <c r="FL73" s="782"/>
      <c r="FM73" s="782"/>
      <c r="FN73" s="782"/>
      <c r="FO73" s="782"/>
      <c r="FP73" s="782"/>
      <c r="FQ73" s="782"/>
      <c r="FR73" s="782"/>
      <c r="FS73" s="782"/>
      <c r="FT73" s="782"/>
      <c r="FU73" s="782"/>
      <c r="FV73" s="782"/>
      <c r="FW73" s="782"/>
      <c r="FX73" s="782"/>
      <c r="FY73" s="782"/>
      <c r="FZ73" s="782"/>
      <c r="GA73" s="782"/>
      <c r="GB73" s="782"/>
      <c r="GC73" s="782"/>
      <c r="GD73" s="782"/>
      <c r="GE73" s="782"/>
      <c r="GF73" s="782"/>
      <c r="GG73" s="782"/>
      <c r="GH73" s="782"/>
      <c r="GI73" s="782"/>
      <c r="GJ73" s="782"/>
      <c r="GK73" s="782"/>
      <c r="GL73" s="782"/>
      <c r="GM73" s="782"/>
      <c r="GN73" s="782"/>
      <c r="GO73" s="782"/>
      <c r="GP73" s="782"/>
      <c r="GQ73" s="782"/>
      <c r="GR73" s="782"/>
      <c r="GS73" s="782"/>
      <c r="GT73" s="782"/>
      <c r="GU73" s="782"/>
      <c r="GV73" s="782"/>
      <c r="GW73" s="782"/>
      <c r="GX73" s="782"/>
      <c r="GY73" s="782"/>
      <c r="GZ73" s="782"/>
      <c r="HA73" s="782"/>
      <c r="HB73" s="782"/>
      <c r="HC73" s="782"/>
      <c r="HD73" s="782"/>
      <c r="HE73" s="782"/>
      <c r="HF73" s="782"/>
      <c r="HG73" s="782"/>
      <c r="HH73" s="782"/>
      <c r="HI73" s="782"/>
      <c r="HJ73" s="782"/>
      <c r="HK73" s="782"/>
      <c r="HL73" s="782"/>
      <c r="HM73" s="782"/>
      <c r="HN73" s="782"/>
      <c r="HO73" s="782"/>
      <c r="HP73" s="782"/>
      <c r="HQ73" s="782"/>
      <c r="HR73" s="782"/>
      <c r="HS73" s="782"/>
      <c r="HT73" s="782"/>
      <c r="HU73" s="782"/>
      <c r="HV73" s="782"/>
      <c r="HW73" s="782"/>
      <c r="HX73" s="782"/>
      <c r="HY73" s="782"/>
      <c r="HZ73" s="782"/>
      <c r="IA73" s="782"/>
      <c r="IB73" s="782"/>
      <c r="IC73" s="782"/>
      <c r="ID73" s="782"/>
      <c r="IE73" s="782"/>
      <c r="IF73" s="782"/>
      <c r="IG73" s="782"/>
      <c r="IH73" s="782"/>
      <c r="II73" s="782"/>
      <c r="IJ73" s="782"/>
      <c r="IK73" s="782"/>
      <c r="IL73" s="782"/>
      <c r="IM73" s="782"/>
      <c r="IN73" s="782"/>
      <c r="IO73" s="782"/>
      <c r="IP73" s="782"/>
      <c r="IQ73" s="782"/>
      <c r="IR73" s="782"/>
      <c r="IS73" s="782"/>
      <c r="IT73" s="782"/>
      <c r="IU73" s="782"/>
      <c r="IV73" s="782"/>
      <c r="IW73" s="782"/>
      <c r="IX73" s="782"/>
      <c r="IY73" s="782"/>
      <c r="IZ73" s="782"/>
      <c r="JA73" s="782"/>
      <c r="JB73" s="782"/>
      <c r="JC73" s="782"/>
      <c r="JD73" s="782"/>
      <c r="JE73" s="782"/>
      <c r="JF73" s="782"/>
      <c r="JG73" s="782"/>
      <c r="JH73" s="782"/>
      <c r="JI73" s="782"/>
      <c r="JJ73" s="782"/>
      <c r="JK73" s="782"/>
      <c r="JL73" s="782"/>
      <c r="JM73" s="782"/>
      <c r="JN73" s="782"/>
      <c r="JO73" s="782"/>
      <c r="JP73" s="782"/>
      <c r="JQ73" s="782"/>
      <c r="JR73" s="782"/>
      <c r="JS73" s="782"/>
      <c r="JT73" s="782"/>
      <c r="JU73" s="782"/>
      <c r="JV73" s="782"/>
      <c r="JW73" s="782"/>
      <c r="JX73" s="782"/>
      <c r="JY73" s="782"/>
      <c r="JZ73" s="782"/>
      <c r="KA73" s="782"/>
      <c r="KB73" s="782"/>
      <c r="KC73" s="782"/>
      <c r="KD73" s="782"/>
      <c r="KE73" s="782"/>
      <c r="KF73" s="782"/>
      <c r="KG73" s="782"/>
      <c r="KH73" s="782"/>
      <c r="KI73" s="782"/>
      <c r="KJ73" s="782"/>
      <c r="KK73" s="782"/>
      <c r="KL73" s="782"/>
      <c r="KM73" s="782"/>
      <c r="KN73" s="782"/>
      <c r="KO73" s="782"/>
      <c r="KP73" s="782"/>
      <c r="KQ73" s="782"/>
      <c r="KR73" s="782"/>
      <c r="KS73" s="782"/>
      <c r="KT73" s="782"/>
      <c r="KU73" s="782"/>
      <c r="KV73" s="782"/>
      <c r="KW73" s="782"/>
      <c r="KX73" s="782"/>
      <c r="KY73" s="782"/>
      <c r="KZ73" s="782"/>
      <c r="LA73" s="782"/>
      <c r="LB73" s="782"/>
      <c r="LC73" s="782"/>
      <c r="LD73" s="782"/>
      <c r="LE73" s="782"/>
      <c r="LF73" s="782"/>
      <c r="LG73" s="782"/>
      <c r="LH73" s="782"/>
      <c r="LI73" s="782"/>
      <c r="LJ73" s="782"/>
      <c r="LK73" s="782"/>
      <c r="LL73" s="782"/>
      <c r="LM73" s="782"/>
      <c r="LN73" s="782"/>
      <c r="LO73" s="782"/>
      <c r="LP73" s="782"/>
      <c r="LQ73" s="782"/>
      <c r="LR73" s="782"/>
      <c r="LS73" s="782"/>
      <c r="LT73" s="782"/>
      <c r="LU73" s="782"/>
      <c r="LV73" s="782"/>
      <c r="LW73" s="782"/>
      <c r="LX73" s="782"/>
      <c r="LY73" s="782"/>
      <c r="LZ73" s="782"/>
      <c r="MA73" s="782"/>
      <c r="MB73" s="782"/>
      <c r="MC73" s="782"/>
      <c r="MD73" s="782"/>
      <c r="ME73" s="782"/>
      <c r="MF73" s="782"/>
      <c r="MG73" s="782"/>
      <c r="MH73" s="782"/>
      <c r="MI73" s="782"/>
      <c r="MJ73" s="782"/>
      <c r="MK73" s="782"/>
      <c r="ML73" s="782"/>
      <c r="MM73" s="782"/>
      <c r="MN73" s="782"/>
      <c r="MO73" s="782"/>
      <c r="MP73" s="782"/>
      <c r="MQ73" s="782"/>
      <c r="MR73" s="782"/>
      <c r="MS73" s="782"/>
      <c r="MT73" s="782"/>
      <c r="MU73" s="782"/>
      <c r="MV73" s="782"/>
      <c r="MW73" s="782"/>
      <c r="MX73" s="782"/>
      <c r="MY73" s="782"/>
      <c r="MZ73" s="782"/>
      <c r="NA73" s="782"/>
      <c r="NB73" s="782"/>
      <c r="NC73" s="782"/>
      <c r="ND73" s="782"/>
      <c r="NE73" s="782"/>
      <c r="NF73" s="782"/>
      <c r="NG73" s="782"/>
      <c r="NH73" s="782"/>
      <c r="NI73" s="782"/>
      <c r="NJ73" s="782"/>
      <c r="NK73" s="782"/>
      <c r="NL73" s="782"/>
      <c r="NM73" s="782"/>
      <c r="NN73" s="782"/>
      <c r="NO73" s="782"/>
      <c r="NP73" s="782"/>
      <c r="NQ73" s="782"/>
      <c r="NR73" s="782"/>
      <c r="NS73" s="782"/>
      <c r="NT73" s="782"/>
      <c r="NU73" s="782"/>
      <c r="NV73" s="782"/>
      <c r="NW73" s="782"/>
      <c r="NX73" s="782"/>
      <c r="NY73" s="782"/>
      <c r="NZ73" s="782"/>
      <c r="OA73" s="782"/>
      <c r="OB73" s="782"/>
      <c r="OC73" s="782"/>
      <c r="OD73" s="782"/>
      <c r="OE73" s="782"/>
      <c r="OF73" s="782"/>
      <c r="OG73" s="782"/>
      <c r="OH73" s="782"/>
      <c r="OI73" s="782"/>
      <c r="OJ73" s="782"/>
      <c r="OK73" s="782"/>
      <c r="OL73" s="782"/>
      <c r="OM73" s="782"/>
      <c r="ON73" s="782"/>
      <c r="OO73" s="782"/>
      <c r="OP73" s="782"/>
      <c r="OQ73" s="782"/>
      <c r="OR73" s="782"/>
      <c r="OS73" s="782"/>
      <c r="OT73" s="782"/>
      <c r="OU73" s="782"/>
      <c r="OV73" s="782"/>
      <c r="OW73" s="782"/>
      <c r="OX73" s="782"/>
      <c r="OY73" s="782"/>
      <c r="OZ73" s="782"/>
      <c r="PA73" s="782"/>
      <c r="PB73" s="782"/>
      <c r="PC73" s="782"/>
      <c r="PD73" s="782"/>
      <c r="PE73" s="782"/>
      <c r="PF73" s="782"/>
      <c r="PG73" s="782"/>
      <c r="PH73" s="782"/>
      <c r="PI73" s="782"/>
      <c r="PJ73" s="782"/>
      <c r="PK73" s="782"/>
      <c r="PL73" s="782"/>
      <c r="PM73" s="782"/>
      <c r="PN73" s="782"/>
      <c r="PO73" s="782"/>
      <c r="PP73" s="782"/>
      <c r="PQ73" s="782"/>
      <c r="PR73" s="782"/>
      <c r="PS73" s="782"/>
      <c r="PT73" s="782"/>
      <c r="PU73" s="782"/>
      <c r="PV73" s="782"/>
      <c r="PW73" s="782"/>
      <c r="PX73" s="782"/>
      <c r="PY73" s="782"/>
      <c r="PZ73" s="782"/>
      <c r="QA73" s="782"/>
      <c r="QB73" s="782"/>
      <c r="QC73" s="782"/>
      <c r="QD73" s="782"/>
      <c r="QE73" s="782"/>
      <c r="QF73" s="782"/>
      <c r="QG73" s="782"/>
      <c r="QH73" s="782"/>
      <c r="QI73" s="782"/>
      <c r="QJ73" s="782"/>
      <c r="QK73" s="782"/>
      <c r="QL73" s="782"/>
      <c r="QM73" s="782"/>
      <c r="QN73" s="782"/>
      <c r="QO73" s="782"/>
      <c r="QP73" s="782"/>
      <c r="QQ73" s="782"/>
      <c r="QR73" s="782"/>
      <c r="QS73" s="782"/>
      <c r="QT73" s="782"/>
      <c r="QU73" s="782"/>
      <c r="QV73" s="782"/>
      <c r="QW73" s="782"/>
      <c r="QX73" s="782"/>
      <c r="QY73" s="782"/>
      <c r="QZ73" s="782"/>
      <c r="RA73" s="782"/>
      <c r="RB73" s="782"/>
      <c r="RC73" s="782"/>
      <c r="RD73" s="782"/>
      <c r="RE73" s="782"/>
      <c r="RF73" s="782"/>
      <c r="RG73" s="782"/>
      <c r="RH73" s="782"/>
      <c r="RI73" s="782"/>
      <c r="RJ73" s="782"/>
      <c r="RK73" s="782"/>
      <c r="RL73" s="782"/>
      <c r="RM73" s="782"/>
      <c r="RN73" s="782"/>
      <c r="RO73" s="782"/>
      <c r="RP73" s="782"/>
      <c r="RQ73" s="782"/>
      <c r="RR73" s="782"/>
      <c r="RS73" s="782"/>
      <c r="RT73" s="782"/>
      <c r="RU73" s="782"/>
      <c r="RV73" s="782"/>
      <c r="RW73" s="782"/>
      <c r="RX73" s="782"/>
    </row>
    <row r="74" spans="1:492" s="143" customFormat="1">
      <c r="A74" s="782"/>
      <c r="B74" s="782"/>
      <c r="C74" s="782"/>
      <c r="D74" s="782"/>
      <c r="E74" s="782"/>
      <c r="F74" s="782"/>
      <c r="G74" s="782"/>
      <c r="H74" s="782"/>
      <c r="I74" s="782"/>
      <c r="J74" s="782"/>
      <c r="K74" s="782"/>
      <c r="L74" s="782"/>
      <c r="M74" s="782"/>
      <c r="N74" s="782"/>
      <c r="O74" s="782"/>
      <c r="P74" s="782"/>
      <c r="Q74" s="782"/>
      <c r="R74" s="782"/>
      <c r="S74" s="782"/>
      <c r="T74" s="782"/>
      <c r="U74" s="782"/>
      <c r="V74" s="782"/>
      <c r="W74" s="782"/>
      <c r="X74" s="782"/>
      <c r="Y74" s="782"/>
      <c r="Z74" s="782"/>
      <c r="AA74" s="782"/>
      <c r="AB74" s="782"/>
      <c r="AC74" s="782"/>
      <c r="AD74" s="782"/>
      <c r="AE74" s="782"/>
      <c r="AF74" s="782"/>
      <c r="AG74" s="782"/>
      <c r="AH74" s="782"/>
      <c r="AI74" s="782"/>
      <c r="AJ74" s="782"/>
      <c r="AK74" s="782"/>
      <c r="AL74" s="782"/>
      <c r="AM74" s="785"/>
      <c r="AN74" s="785"/>
      <c r="AO74" s="785"/>
      <c r="AP74" s="785"/>
      <c r="AQ74" s="785"/>
      <c r="AR74" s="785"/>
      <c r="AS74" s="785"/>
      <c r="AT74" s="785"/>
      <c r="AU74" s="785"/>
      <c r="AV74" s="785"/>
      <c r="AW74" s="785"/>
      <c r="AX74" s="785"/>
      <c r="AY74" s="785"/>
      <c r="AZ74" s="785"/>
      <c r="BA74" s="785"/>
      <c r="BB74" s="785"/>
      <c r="BC74" s="785"/>
      <c r="BD74" s="785"/>
      <c r="BE74" s="785"/>
      <c r="BF74" s="785"/>
      <c r="BG74" s="785"/>
      <c r="BH74" s="785"/>
      <c r="BI74" s="785"/>
      <c r="BJ74" s="785"/>
      <c r="BK74" s="785"/>
      <c r="BL74" s="785"/>
      <c r="BM74" s="785"/>
      <c r="BN74" s="785"/>
      <c r="BO74" s="785"/>
      <c r="BP74" s="785"/>
      <c r="BQ74" s="785"/>
      <c r="BR74" s="785"/>
      <c r="BS74" s="785"/>
      <c r="BT74" s="785"/>
      <c r="BU74" s="785"/>
      <c r="BV74" s="785"/>
      <c r="BW74" s="785"/>
      <c r="BX74" s="785"/>
      <c r="BY74" s="785"/>
      <c r="BZ74" s="785"/>
      <c r="CA74" s="782"/>
      <c r="CB74" s="782"/>
      <c r="CC74" s="782"/>
      <c r="CD74" s="782"/>
      <c r="CE74" s="782"/>
      <c r="CF74" s="782"/>
      <c r="CG74" s="782"/>
      <c r="CH74" s="782"/>
      <c r="CI74" s="782"/>
      <c r="CJ74" s="782"/>
      <c r="CK74" s="782"/>
      <c r="CL74" s="782"/>
      <c r="CM74" s="782"/>
      <c r="CN74" s="782"/>
      <c r="CO74" s="782"/>
      <c r="CP74" s="782"/>
      <c r="CQ74" s="782"/>
      <c r="CR74" s="782"/>
      <c r="CS74" s="782"/>
      <c r="CT74" s="782"/>
      <c r="CU74" s="782"/>
      <c r="CV74" s="782"/>
      <c r="CW74" s="782"/>
      <c r="CX74" s="782"/>
      <c r="CY74" s="782"/>
      <c r="CZ74" s="782"/>
      <c r="DA74" s="782"/>
      <c r="DB74" s="782"/>
      <c r="DC74" s="782"/>
      <c r="DD74" s="782"/>
      <c r="DE74" s="782"/>
      <c r="DF74" s="782"/>
      <c r="DG74" s="782"/>
      <c r="DH74" s="782"/>
      <c r="DI74" s="782"/>
      <c r="DJ74" s="782"/>
      <c r="DK74" s="782"/>
      <c r="DL74" s="782"/>
      <c r="DM74" s="782"/>
      <c r="DN74" s="782"/>
      <c r="DO74" s="782"/>
      <c r="DP74" s="782"/>
      <c r="DQ74" s="782"/>
      <c r="DR74" s="782"/>
      <c r="DS74" s="782"/>
      <c r="DT74" s="782"/>
      <c r="DU74" s="782"/>
      <c r="DV74" s="782"/>
      <c r="DW74" s="782"/>
      <c r="DX74" s="782"/>
      <c r="DY74" s="782"/>
      <c r="DZ74" s="782"/>
      <c r="EA74" s="782"/>
      <c r="EB74" s="782"/>
      <c r="EC74" s="782"/>
      <c r="ED74" s="782"/>
      <c r="EE74" s="782"/>
      <c r="EF74" s="782"/>
      <c r="EG74" s="782"/>
      <c r="EH74" s="782"/>
      <c r="EI74" s="782"/>
      <c r="EJ74" s="782"/>
      <c r="EK74" s="782"/>
      <c r="EL74" s="782"/>
      <c r="EM74" s="782"/>
      <c r="EN74" s="782"/>
      <c r="EO74" s="782"/>
      <c r="EP74" s="782"/>
      <c r="EQ74" s="782"/>
      <c r="ER74" s="782"/>
      <c r="ES74" s="782"/>
      <c r="ET74" s="782"/>
      <c r="EU74" s="782"/>
      <c r="EV74" s="782"/>
      <c r="EW74" s="782"/>
      <c r="EX74" s="782"/>
      <c r="EY74" s="782"/>
      <c r="EZ74" s="782"/>
      <c r="FA74" s="782"/>
      <c r="FB74" s="782"/>
      <c r="FC74" s="782"/>
      <c r="FD74" s="782"/>
      <c r="FE74" s="782"/>
      <c r="FF74" s="782"/>
      <c r="FG74" s="782"/>
      <c r="FH74" s="782"/>
      <c r="FI74" s="782"/>
      <c r="FJ74" s="782"/>
      <c r="FK74" s="782"/>
      <c r="FL74" s="782"/>
      <c r="FM74" s="782"/>
      <c r="FN74" s="782"/>
      <c r="FO74" s="782"/>
      <c r="FP74" s="782"/>
      <c r="FQ74" s="782"/>
      <c r="FR74" s="782"/>
      <c r="FS74" s="782"/>
      <c r="FT74" s="782"/>
      <c r="FU74" s="782"/>
      <c r="FV74" s="782"/>
      <c r="FW74" s="782"/>
      <c r="FX74" s="782"/>
      <c r="FY74" s="782"/>
      <c r="FZ74" s="782"/>
      <c r="GA74" s="782"/>
      <c r="GB74" s="782"/>
      <c r="GC74" s="782"/>
      <c r="GD74" s="782"/>
      <c r="GE74" s="782"/>
      <c r="GF74" s="782"/>
      <c r="GG74" s="782"/>
      <c r="GH74" s="782"/>
      <c r="GI74" s="782"/>
      <c r="GJ74" s="782"/>
      <c r="GK74" s="782"/>
      <c r="GL74" s="782"/>
      <c r="GM74" s="782"/>
      <c r="GN74" s="782"/>
      <c r="GO74" s="782"/>
      <c r="GP74" s="782"/>
      <c r="GQ74" s="782"/>
      <c r="GR74" s="782"/>
      <c r="GS74" s="782"/>
      <c r="GT74" s="782"/>
      <c r="GU74" s="782"/>
      <c r="GV74" s="782"/>
      <c r="GW74" s="782"/>
      <c r="GX74" s="782"/>
      <c r="GY74" s="782"/>
      <c r="GZ74" s="782"/>
      <c r="HA74" s="782"/>
      <c r="HB74" s="782"/>
      <c r="HC74" s="782"/>
      <c r="HD74" s="782"/>
      <c r="HE74" s="782"/>
      <c r="HF74" s="782"/>
      <c r="HG74" s="782"/>
      <c r="HH74" s="782"/>
      <c r="HI74" s="782"/>
      <c r="HJ74" s="782"/>
      <c r="HK74" s="782"/>
      <c r="HL74" s="782"/>
      <c r="HM74" s="782"/>
      <c r="HN74" s="782"/>
      <c r="HO74" s="782"/>
      <c r="HP74" s="782"/>
      <c r="HQ74" s="782"/>
      <c r="HR74" s="782"/>
      <c r="HS74" s="782"/>
      <c r="HT74" s="782"/>
      <c r="HU74" s="782"/>
      <c r="HV74" s="782"/>
      <c r="HW74" s="782"/>
      <c r="HX74" s="782"/>
      <c r="HY74" s="782"/>
      <c r="HZ74" s="782"/>
      <c r="IA74" s="782"/>
      <c r="IB74" s="782"/>
      <c r="IC74" s="782"/>
      <c r="ID74" s="782"/>
      <c r="IE74" s="782"/>
      <c r="IF74" s="782"/>
      <c r="IG74" s="782"/>
      <c r="IH74" s="782"/>
      <c r="II74" s="782"/>
      <c r="IJ74" s="782"/>
      <c r="IK74" s="782"/>
      <c r="IL74" s="782"/>
      <c r="IM74" s="782"/>
      <c r="IN74" s="782"/>
      <c r="IO74" s="782"/>
      <c r="IP74" s="782"/>
      <c r="IQ74" s="782"/>
      <c r="IR74" s="782"/>
      <c r="IS74" s="782"/>
      <c r="IT74" s="782"/>
      <c r="IU74" s="782"/>
      <c r="IV74" s="782"/>
      <c r="IW74" s="782"/>
      <c r="IX74" s="782"/>
      <c r="IY74" s="782"/>
      <c r="IZ74" s="782"/>
      <c r="JA74" s="782"/>
      <c r="JB74" s="782"/>
      <c r="JC74" s="782"/>
      <c r="JD74" s="782"/>
      <c r="JE74" s="782"/>
      <c r="JF74" s="782"/>
      <c r="JG74" s="782"/>
      <c r="JH74" s="782"/>
      <c r="JI74" s="782"/>
      <c r="JJ74" s="782"/>
      <c r="JK74" s="782"/>
      <c r="JL74" s="782"/>
      <c r="JM74" s="782"/>
      <c r="JN74" s="782"/>
      <c r="JO74" s="782"/>
      <c r="JP74" s="782"/>
      <c r="JQ74" s="782"/>
      <c r="JR74" s="782"/>
      <c r="JS74" s="782"/>
      <c r="JT74" s="782"/>
      <c r="JU74" s="782"/>
      <c r="JV74" s="782"/>
      <c r="JW74" s="782"/>
      <c r="JX74" s="782"/>
      <c r="JY74" s="782"/>
      <c r="JZ74" s="782"/>
      <c r="KA74" s="782"/>
      <c r="KB74" s="782"/>
      <c r="KC74" s="782"/>
      <c r="KD74" s="782"/>
      <c r="KE74" s="782"/>
      <c r="KF74" s="782"/>
      <c r="KG74" s="782"/>
      <c r="KH74" s="782"/>
      <c r="KI74" s="782"/>
      <c r="KJ74" s="782"/>
      <c r="KK74" s="782"/>
      <c r="KL74" s="782"/>
      <c r="KM74" s="782"/>
      <c r="KN74" s="782"/>
      <c r="KO74" s="782"/>
      <c r="KP74" s="782"/>
      <c r="KQ74" s="782"/>
      <c r="KR74" s="782"/>
      <c r="KS74" s="782"/>
      <c r="KT74" s="782"/>
      <c r="KU74" s="782"/>
      <c r="KV74" s="782"/>
      <c r="KW74" s="782"/>
      <c r="KX74" s="782"/>
      <c r="KY74" s="782"/>
      <c r="KZ74" s="782"/>
      <c r="LA74" s="782"/>
      <c r="LB74" s="782"/>
      <c r="LC74" s="782"/>
      <c r="LD74" s="782"/>
      <c r="LE74" s="782"/>
      <c r="LF74" s="782"/>
      <c r="LG74" s="782"/>
      <c r="LH74" s="782"/>
      <c r="LI74" s="782"/>
      <c r="LJ74" s="782"/>
      <c r="LK74" s="782"/>
      <c r="LL74" s="782"/>
      <c r="LM74" s="782"/>
      <c r="LN74" s="782"/>
      <c r="LO74" s="782"/>
      <c r="LP74" s="782"/>
      <c r="LQ74" s="782"/>
      <c r="LR74" s="782"/>
      <c r="LS74" s="782"/>
      <c r="LT74" s="782"/>
      <c r="LU74" s="782"/>
      <c r="LV74" s="782"/>
      <c r="LW74" s="782"/>
      <c r="LX74" s="782"/>
      <c r="LY74" s="782"/>
      <c r="LZ74" s="782"/>
      <c r="MA74" s="782"/>
      <c r="MB74" s="782"/>
      <c r="MC74" s="782"/>
      <c r="MD74" s="782"/>
      <c r="ME74" s="782"/>
      <c r="MF74" s="782"/>
      <c r="MG74" s="782"/>
      <c r="MH74" s="782"/>
      <c r="MI74" s="782"/>
      <c r="MJ74" s="782"/>
      <c r="MK74" s="782"/>
      <c r="ML74" s="782"/>
      <c r="MM74" s="782"/>
      <c r="MN74" s="782"/>
      <c r="MO74" s="782"/>
      <c r="MP74" s="782"/>
      <c r="MQ74" s="782"/>
      <c r="MR74" s="782"/>
      <c r="MS74" s="782"/>
      <c r="MT74" s="782"/>
      <c r="MU74" s="782"/>
      <c r="MV74" s="782"/>
      <c r="MW74" s="782"/>
      <c r="MX74" s="782"/>
      <c r="MY74" s="782"/>
      <c r="MZ74" s="782"/>
      <c r="NA74" s="782"/>
      <c r="NB74" s="782"/>
      <c r="NC74" s="782"/>
      <c r="ND74" s="782"/>
      <c r="NE74" s="782"/>
      <c r="NF74" s="782"/>
      <c r="NG74" s="782"/>
      <c r="NH74" s="782"/>
      <c r="NI74" s="782"/>
      <c r="NJ74" s="782"/>
      <c r="NK74" s="782"/>
      <c r="NL74" s="782"/>
      <c r="NM74" s="782"/>
      <c r="NN74" s="782"/>
      <c r="NO74" s="782"/>
      <c r="NP74" s="782"/>
      <c r="NQ74" s="782"/>
      <c r="NR74" s="782"/>
      <c r="NS74" s="782"/>
      <c r="NT74" s="782"/>
      <c r="NU74" s="782"/>
      <c r="NV74" s="782"/>
      <c r="NW74" s="782"/>
      <c r="NX74" s="782"/>
      <c r="NY74" s="782"/>
      <c r="NZ74" s="782"/>
      <c r="OA74" s="782"/>
      <c r="OB74" s="782"/>
      <c r="OC74" s="782"/>
      <c r="OD74" s="782"/>
      <c r="OE74" s="782"/>
      <c r="OF74" s="782"/>
      <c r="OG74" s="782"/>
      <c r="OH74" s="782"/>
      <c r="OI74" s="782"/>
      <c r="OJ74" s="782"/>
      <c r="OK74" s="782"/>
      <c r="OL74" s="782"/>
      <c r="OM74" s="782"/>
      <c r="ON74" s="782"/>
      <c r="OO74" s="782"/>
      <c r="OP74" s="782"/>
      <c r="OQ74" s="782"/>
      <c r="OR74" s="782"/>
      <c r="OS74" s="782"/>
      <c r="OT74" s="782"/>
      <c r="OU74" s="782"/>
      <c r="OV74" s="782"/>
      <c r="OW74" s="782"/>
      <c r="OX74" s="782"/>
      <c r="OY74" s="782"/>
      <c r="OZ74" s="782"/>
      <c r="PA74" s="782"/>
      <c r="PB74" s="782"/>
      <c r="PC74" s="782"/>
      <c r="PD74" s="782"/>
      <c r="PE74" s="782"/>
      <c r="PF74" s="782"/>
      <c r="PG74" s="782"/>
      <c r="PH74" s="782"/>
      <c r="PI74" s="782"/>
      <c r="PJ74" s="782"/>
      <c r="PK74" s="782"/>
      <c r="PL74" s="782"/>
      <c r="PM74" s="782"/>
      <c r="PN74" s="782"/>
      <c r="PO74" s="782"/>
      <c r="PP74" s="782"/>
      <c r="PQ74" s="782"/>
      <c r="PR74" s="782"/>
      <c r="PS74" s="782"/>
      <c r="PT74" s="782"/>
      <c r="PU74" s="782"/>
      <c r="PV74" s="782"/>
      <c r="PW74" s="782"/>
      <c r="PX74" s="782"/>
      <c r="PY74" s="782"/>
      <c r="PZ74" s="782"/>
      <c r="QA74" s="782"/>
      <c r="QB74" s="782"/>
      <c r="QC74" s="782"/>
      <c r="QD74" s="782"/>
      <c r="QE74" s="782"/>
      <c r="QF74" s="782"/>
      <c r="QG74" s="782"/>
      <c r="QH74" s="782"/>
      <c r="QI74" s="782"/>
      <c r="QJ74" s="782"/>
      <c r="QK74" s="782"/>
      <c r="QL74" s="782"/>
      <c r="QM74" s="782"/>
      <c r="QN74" s="782"/>
      <c r="QO74" s="782"/>
      <c r="QP74" s="782"/>
      <c r="QQ74" s="782"/>
      <c r="QR74" s="782"/>
      <c r="QS74" s="782"/>
      <c r="QT74" s="782"/>
      <c r="QU74" s="782"/>
      <c r="QV74" s="782"/>
      <c r="QW74" s="782"/>
      <c r="QX74" s="782"/>
      <c r="QY74" s="782"/>
      <c r="QZ74" s="782"/>
      <c r="RA74" s="782"/>
      <c r="RB74" s="782"/>
      <c r="RC74" s="782"/>
      <c r="RD74" s="782"/>
      <c r="RE74" s="782"/>
      <c r="RF74" s="782"/>
      <c r="RG74" s="782"/>
      <c r="RH74" s="782"/>
      <c r="RI74" s="782"/>
      <c r="RJ74" s="782"/>
      <c r="RK74" s="782"/>
      <c r="RL74" s="782"/>
      <c r="RM74" s="782"/>
      <c r="RN74" s="782"/>
      <c r="RO74" s="782"/>
      <c r="RP74" s="782"/>
      <c r="RQ74" s="782"/>
      <c r="RR74" s="782"/>
      <c r="RS74" s="782"/>
      <c r="RT74" s="782"/>
      <c r="RU74" s="782"/>
      <c r="RV74" s="782"/>
      <c r="RW74" s="782"/>
      <c r="RX74" s="782"/>
    </row>
    <row r="75" spans="1:492" s="143" customFormat="1">
      <c r="A75" s="782"/>
      <c r="B75" s="782"/>
      <c r="C75" s="782"/>
      <c r="D75" s="782"/>
      <c r="E75" s="782"/>
      <c r="F75" s="782"/>
      <c r="G75" s="782"/>
      <c r="H75" s="782"/>
      <c r="I75" s="782"/>
      <c r="J75" s="782"/>
      <c r="K75" s="782"/>
      <c r="L75" s="782"/>
      <c r="M75" s="782"/>
      <c r="N75" s="782"/>
      <c r="O75" s="782"/>
      <c r="P75" s="782"/>
      <c r="Q75" s="782"/>
      <c r="R75" s="782"/>
      <c r="S75" s="782"/>
      <c r="T75" s="782"/>
      <c r="U75" s="782"/>
      <c r="V75" s="782"/>
      <c r="W75" s="782"/>
      <c r="X75" s="782"/>
      <c r="Y75" s="782"/>
      <c r="Z75" s="782"/>
      <c r="AA75" s="782"/>
      <c r="AB75" s="782"/>
      <c r="AC75" s="782"/>
      <c r="AD75" s="782"/>
      <c r="AE75" s="782"/>
      <c r="AF75" s="782"/>
      <c r="AG75" s="782"/>
      <c r="AH75" s="782"/>
      <c r="AI75" s="782"/>
      <c r="AJ75" s="782"/>
      <c r="AK75" s="782"/>
      <c r="AL75" s="782"/>
      <c r="AM75" s="785"/>
      <c r="AN75" s="785"/>
      <c r="AO75" s="785"/>
      <c r="AP75" s="785"/>
      <c r="AQ75" s="785"/>
      <c r="AR75" s="785"/>
      <c r="AS75" s="785"/>
      <c r="AT75" s="785"/>
      <c r="AU75" s="785"/>
      <c r="AV75" s="785"/>
      <c r="AW75" s="785"/>
      <c r="AX75" s="785"/>
      <c r="AY75" s="785"/>
      <c r="AZ75" s="785"/>
      <c r="BA75" s="785"/>
      <c r="BB75" s="785"/>
      <c r="BC75" s="785"/>
      <c r="BD75" s="785"/>
      <c r="BE75" s="785"/>
      <c r="BF75" s="785"/>
      <c r="BG75" s="785"/>
      <c r="BH75" s="785"/>
      <c r="BI75" s="785"/>
      <c r="BJ75" s="785"/>
      <c r="BK75" s="785"/>
      <c r="BL75" s="785"/>
      <c r="BM75" s="785"/>
      <c r="BN75" s="785"/>
      <c r="BO75" s="785"/>
      <c r="BP75" s="785"/>
      <c r="BQ75" s="785"/>
      <c r="BR75" s="785"/>
      <c r="BS75" s="785"/>
      <c r="BT75" s="785"/>
      <c r="BU75" s="785"/>
      <c r="BV75" s="785"/>
      <c r="BW75" s="785"/>
      <c r="BX75" s="785"/>
      <c r="BY75" s="785"/>
      <c r="BZ75" s="785"/>
      <c r="CA75" s="782"/>
      <c r="CB75" s="782"/>
      <c r="CC75" s="782"/>
      <c r="CD75" s="782"/>
      <c r="CE75" s="782"/>
      <c r="CF75" s="782"/>
      <c r="CG75" s="782"/>
      <c r="CH75" s="782"/>
      <c r="CI75" s="782"/>
      <c r="CJ75" s="782"/>
      <c r="CK75" s="782"/>
      <c r="CL75" s="782"/>
      <c r="CM75" s="782"/>
      <c r="CN75" s="782"/>
      <c r="CO75" s="782"/>
      <c r="CP75" s="782"/>
      <c r="CQ75" s="782"/>
      <c r="CR75" s="782"/>
      <c r="CS75" s="782"/>
      <c r="CT75" s="782"/>
      <c r="CU75" s="782"/>
      <c r="CV75" s="782"/>
      <c r="CW75" s="782"/>
      <c r="CX75" s="782"/>
      <c r="CY75" s="782"/>
      <c r="CZ75" s="782"/>
      <c r="DA75" s="782"/>
      <c r="DB75" s="782"/>
      <c r="DC75" s="782"/>
      <c r="DD75" s="782"/>
      <c r="DE75" s="782"/>
      <c r="DF75" s="782"/>
      <c r="DG75" s="782"/>
      <c r="DH75" s="782"/>
      <c r="DI75" s="782"/>
      <c r="DJ75" s="782"/>
      <c r="DK75" s="782"/>
      <c r="DL75" s="782"/>
      <c r="DM75" s="782"/>
      <c r="DN75" s="782"/>
      <c r="DO75" s="782"/>
      <c r="DP75" s="782"/>
      <c r="DQ75" s="782"/>
      <c r="DR75" s="782"/>
      <c r="DS75" s="782"/>
      <c r="DT75" s="782"/>
      <c r="DU75" s="782"/>
      <c r="DV75" s="782"/>
      <c r="DW75" s="782"/>
      <c r="DX75" s="782"/>
      <c r="DY75" s="782"/>
      <c r="DZ75" s="782"/>
      <c r="EA75" s="782"/>
      <c r="EB75" s="782"/>
      <c r="EC75" s="782"/>
      <c r="ED75" s="782"/>
      <c r="EE75" s="782"/>
      <c r="EF75" s="782"/>
      <c r="EG75" s="782"/>
      <c r="EH75" s="782"/>
      <c r="EI75" s="782"/>
      <c r="EJ75" s="782"/>
      <c r="EK75" s="782"/>
      <c r="EL75" s="782"/>
      <c r="EM75" s="782"/>
      <c r="EN75" s="782"/>
      <c r="EO75" s="782"/>
      <c r="EP75" s="782"/>
      <c r="EQ75" s="782"/>
      <c r="ER75" s="782"/>
      <c r="ES75" s="782"/>
      <c r="ET75" s="782"/>
      <c r="EU75" s="782"/>
      <c r="EV75" s="782"/>
      <c r="EW75" s="782"/>
      <c r="EX75" s="782"/>
      <c r="EY75" s="782"/>
      <c r="EZ75" s="782"/>
      <c r="FA75" s="782"/>
      <c r="FB75" s="782"/>
      <c r="FC75" s="782"/>
      <c r="FD75" s="782"/>
      <c r="FE75" s="782"/>
      <c r="FF75" s="782"/>
      <c r="FG75" s="782"/>
      <c r="FH75" s="782"/>
      <c r="FI75" s="782"/>
      <c r="FJ75" s="782"/>
      <c r="FK75" s="782"/>
      <c r="FL75" s="782"/>
      <c r="FM75" s="782"/>
      <c r="FN75" s="782"/>
      <c r="FO75" s="782"/>
      <c r="FP75" s="782"/>
      <c r="FQ75" s="782"/>
      <c r="FR75" s="782"/>
      <c r="FS75" s="782"/>
      <c r="FT75" s="782"/>
      <c r="FU75" s="782"/>
      <c r="FV75" s="782"/>
      <c r="FW75" s="782"/>
      <c r="FX75" s="782"/>
      <c r="FY75" s="782"/>
      <c r="FZ75" s="782"/>
      <c r="GA75" s="782"/>
      <c r="GB75" s="782"/>
      <c r="GC75" s="782"/>
      <c r="GD75" s="782"/>
      <c r="GE75" s="782"/>
      <c r="GF75" s="782"/>
      <c r="GG75" s="782"/>
      <c r="GH75" s="782"/>
      <c r="GI75" s="782"/>
      <c r="GJ75" s="782"/>
      <c r="GK75" s="782"/>
      <c r="GL75" s="782"/>
      <c r="GM75" s="782"/>
      <c r="GN75" s="782"/>
      <c r="GO75" s="782"/>
      <c r="GP75" s="782"/>
      <c r="GQ75" s="782"/>
      <c r="GR75" s="782"/>
      <c r="GS75" s="782"/>
      <c r="GT75" s="782"/>
      <c r="GU75" s="782"/>
      <c r="GV75" s="782"/>
      <c r="GW75" s="782"/>
      <c r="GX75" s="782"/>
      <c r="GY75" s="782"/>
      <c r="GZ75" s="782"/>
      <c r="HA75" s="782"/>
      <c r="HB75" s="782"/>
      <c r="HC75" s="782"/>
      <c r="HD75" s="782"/>
      <c r="HE75" s="782"/>
      <c r="HF75" s="782"/>
      <c r="HG75" s="782"/>
      <c r="HH75" s="782"/>
      <c r="HI75" s="782"/>
      <c r="HJ75" s="782"/>
      <c r="HK75" s="782"/>
      <c r="HL75" s="782"/>
      <c r="HM75" s="782"/>
      <c r="HN75" s="782"/>
      <c r="HO75" s="782"/>
      <c r="HP75" s="782"/>
      <c r="HQ75" s="782"/>
      <c r="HR75" s="782"/>
      <c r="HS75" s="782"/>
      <c r="HT75" s="782"/>
      <c r="HU75" s="782"/>
      <c r="HV75" s="782"/>
      <c r="HW75" s="782"/>
      <c r="HX75" s="782"/>
      <c r="HY75" s="782"/>
      <c r="HZ75" s="782"/>
      <c r="IA75" s="782"/>
      <c r="IB75" s="782"/>
      <c r="IC75" s="782"/>
      <c r="ID75" s="782"/>
      <c r="IE75" s="782"/>
      <c r="IF75" s="782"/>
      <c r="IG75" s="782"/>
      <c r="IH75" s="782"/>
      <c r="II75" s="782"/>
      <c r="IJ75" s="782"/>
      <c r="IK75" s="782"/>
      <c r="IL75" s="782"/>
      <c r="IM75" s="782"/>
      <c r="IN75" s="782"/>
      <c r="IO75" s="782"/>
      <c r="IP75" s="782"/>
      <c r="IQ75" s="782"/>
      <c r="IR75" s="782"/>
      <c r="IS75" s="782"/>
      <c r="IT75" s="782"/>
      <c r="IU75" s="782"/>
      <c r="IV75" s="782"/>
      <c r="IW75" s="782"/>
      <c r="IX75" s="782"/>
      <c r="IY75" s="782"/>
      <c r="IZ75" s="782"/>
      <c r="JA75" s="782"/>
      <c r="JB75" s="782"/>
      <c r="JC75" s="782"/>
      <c r="JD75" s="782"/>
      <c r="JE75" s="782"/>
      <c r="JF75" s="782"/>
      <c r="JG75" s="782"/>
      <c r="JH75" s="782"/>
      <c r="JI75" s="782"/>
      <c r="JJ75" s="782"/>
      <c r="JK75" s="782"/>
      <c r="JL75" s="782"/>
      <c r="JM75" s="782"/>
      <c r="JN75" s="782"/>
      <c r="JO75" s="782"/>
      <c r="JP75" s="782"/>
      <c r="JQ75" s="782"/>
      <c r="JR75" s="782"/>
      <c r="JS75" s="782"/>
      <c r="JT75" s="782"/>
      <c r="JU75" s="782"/>
      <c r="JV75" s="782"/>
      <c r="JW75" s="782"/>
      <c r="JX75" s="782"/>
      <c r="JY75" s="782"/>
      <c r="JZ75" s="782"/>
      <c r="KA75" s="782"/>
      <c r="KB75" s="782"/>
      <c r="KC75" s="782"/>
      <c r="KD75" s="782"/>
      <c r="KE75" s="782"/>
      <c r="KF75" s="782"/>
      <c r="KG75" s="782"/>
      <c r="KH75" s="782"/>
      <c r="KI75" s="782"/>
      <c r="KJ75" s="782"/>
      <c r="KK75" s="782"/>
      <c r="KL75" s="782"/>
      <c r="KM75" s="782"/>
      <c r="KN75" s="782"/>
      <c r="KO75" s="782"/>
      <c r="KP75" s="782"/>
      <c r="KQ75" s="782"/>
      <c r="KR75" s="782"/>
      <c r="KS75" s="782"/>
      <c r="KT75" s="782"/>
      <c r="KU75" s="782"/>
      <c r="KV75" s="782"/>
      <c r="KW75" s="782"/>
      <c r="KX75" s="782"/>
      <c r="KY75" s="782"/>
      <c r="KZ75" s="782"/>
      <c r="LA75" s="782"/>
      <c r="LB75" s="782"/>
      <c r="LC75" s="782"/>
      <c r="LD75" s="782"/>
      <c r="LE75" s="782"/>
      <c r="LF75" s="782"/>
      <c r="LG75" s="782"/>
      <c r="LH75" s="782"/>
      <c r="LI75" s="782"/>
      <c r="LJ75" s="782"/>
      <c r="LK75" s="782"/>
      <c r="LL75" s="782"/>
      <c r="LM75" s="782"/>
      <c r="LN75" s="782"/>
      <c r="LO75" s="782"/>
      <c r="LP75" s="782"/>
      <c r="LQ75" s="782"/>
      <c r="LR75" s="782"/>
      <c r="LS75" s="782"/>
      <c r="LT75" s="782"/>
      <c r="LU75" s="782"/>
      <c r="LV75" s="782"/>
      <c r="LW75" s="782"/>
      <c r="LX75" s="782"/>
      <c r="LY75" s="782"/>
      <c r="LZ75" s="782"/>
      <c r="MA75" s="782"/>
      <c r="MB75" s="782"/>
      <c r="MC75" s="782"/>
      <c r="MD75" s="782"/>
      <c r="ME75" s="782"/>
      <c r="MF75" s="782"/>
      <c r="MG75" s="782"/>
      <c r="MH75" s="782"/>
      <c r="MI75" s="782"/>
      <c r="MJ75" s="782"/>
      <c r="MK75" s="782"/>
      <c r="ML75" s="782"/>
      <c r="MM75" s="782"/>
      <c r="MN75" s="782"/>
      <c r="MO75" s="782"/>
      <c r="MP75" s="782"/>
      <c r="MQ75" s="782"/>
      <c r="MR75" s="782"/>
      <c r="MS75" s="782"/>
      <c r="MT75" s="782"/>
      <c r="MU75" s="782"/>
      <c r="MV75" s="782"/>
      <c r="MW75" s="782"/>
      <c r="MX75" s="782"/>
      <c r="MY75" s="782"/>
      <c r="MZ75" s="782"/>
      <c r="NA75" s="782"/>
      <c r="NB75" s="782"/>
      <c r="NC75" s="782"/>
      <c r="ND75" s="782"/>
      <c r="NE75" s="782"/>
      <c r="NF75" s="782"/>
      <c r="NG75" s="782"/>
      <c r="NH75" s="782"/>
      <c r="NI75" s="782"/>
      <c r="NJ75" s="782"/>
      <c r="NK75" s="782"/>
      <c r="NL75" s="782"/>
      <c r="NM75" s="782"/>
      <c r="NN75" s="782"/>
      <c r="NO75" s="782"/>
      <c r="NP75" s="782"/>
      <c r="NQ75" s="782"/>
      <c r="NR75" s="782"/>
      <c r="NS75" s="782"/>
      <c r="NT75" s="782"/>
      <c r="NU75" s="782"/>
      <c r="NV75" s="782"/>
      <c r="NW75" s="782"/>
      <c r="NX75" s="782"/>
      <c r="NY75" s="782"/>
      <c r="NZ75" s="782"/>
      <c r="OA75" s="782"/>
      <c r="OB75" s="782"/>
      <c r="OC75" s="782"/>
      <c r="OD75" s="782"/>
      <c r="OE75" s="782"/>
      <c r="OF75" s="782"/>
      <c r="OG75" s="782"/>
      <c r="OH75" s="782"/>
      <c r="OI75" s="782"/>
      <c r="OJ75" s="782"/>
      <c r="OK75" s="782"/>
      <c r="OL75" s="782"/>
      <c r="OM75" s="782"/>
      <c r="ON75" s="782"/>
      <c r="OO75" s="782"/>
      <c r="OP75" s="782"/>
      <c r="OQ75" s="782"/>
      <c r="OR75" s="782"/>
      <c r="OS75" s="782"/>
      <c r="OT75" s="782"/>
      <c r="OU75" s="782"/>
      <c r="OV75" s="782"/>
      <c r="OW75" s="782"/>
      <c r="OX75" s="782"/>
      <c r="OY75" s="782"/>
      <c r="OZ75" s="782"/>
      <c r="PA75" s="782"/>
      <c r="PB75" s="782"/>
      <c r="PC75" s="782"/>
      <c r="PD75" s="782"/>
      <c r="PE75" s="782"/>
      <c r="PF75" s="782"/>
      <c r="PG75" s="782"/>
      <c r="PH75" s="782"/>
      <c r="PI75" s="782"/>
      <c r="PJ75" s="782"/>
      <c r="PK75" s="782"/>
      <c r="PL75" s="782"/>
      <c r="PM75" s="782"/>
      <c r="PN75" s="782"/>
      <c r="PO75" s="782"/>
      <c r="PP75" s="782"/>
      <c r="PQ75" s="782"/>
      <c r="PR75" s="782"/>
      <c r="PS75" s="782"/>
      <c r="PT75" s="782"/>
      <c r="PU75" s="782"/>
      <c r="PV75" s="782"/>
      <c r="PW75" s="782"/>
      <c r="PX75" s="782"/>
      <c r="PY75" s="782"/>
      <c r="PZ75" s="782"/>
      <c r="QA75" s="782"/>
      <c r="QB75" s="782"/>
      <c r="QC75" s="782"/>
      <c r="QD75" s="782"/>
      <c r="QE75" s="782"/>
      <c r="QF75" s="782"/>
      <c r="QG75" s="782"/>
      <c r="QH75" s="782"/>
      <c r="QI75" s="782"/>
      <c r="QJ75" s="782"/>
      <c r="QK75" s="782"/>
      <c r="QL75" s="782"/>
      <c r="QM75" s="782"/>
      <c r="QN75" s="782"/>
      <c r="QO75" s="782"/>
      <c r="QP75" s="782"/>
      <c r="QQ75" s="782"/>
      <c r="QR75" s="782"/>
      <c r="QS75" s="782"/>
      <c r="QT75" s="782"/>
      <c r="QU75" s="782"/>
      <c r="QV75" s="782"/>
      <c r="QW75" s="782"/>
      <c r="QX75" s="782"/>
      <c r="QY75" s="782"/>
      <c r="QZ75" s="782"/>
      <c r="RA75" s="782"/>
      <c r="RB75" s="782"/>
      <c r="RC75" s="782"/>
      <c r="RD75" s="782"/>
      <c r="RE75" s="782"/>
      <c r="RF75" s="782"/>
      <c r="RG75" s="782"/>
      <c r="RH75" s="782"/>
      <c r="RI75" s="782"/>
      <c r="RJ75" s="782"/>
      <c r="RK75" s="782"/>
      <c r="RL75" s="782"/>
      <c r="RM75" s="782"/>
      <c r="RN75" s="782"/>
      <c r="RO75" s="782"/>
      <c r="RP75" s="782"/>
      <c r="RQ75" s="782"/>
      <c r="RR75" s="782"/>
      <c r="RS75" s="782"/>
      <c r="RT75" s="782"/>
      <c r="RU75" s="782"/>
      <c r="RV75" s="782"/>
      <c r="RW75" s="782"/>
      <c r="RX75" s="782"/>
    </row>
    <row r="76" spans="1:492" s="143" customFormat="1">
      <c r="A76" s="782"/>
      <c r="B76" s="782"/>
      <c r="C76" s="782"/>
      <c r="D76" s="782"/>
      <c r="E76" s="782"/>
      <c r="F76" s="782"/>
      <c r="G76" s="782"/>
      <c r="H76" s="782"/>
      <c r="I76" s="782"/>
      <c r="J76" s="782"/>
      <c r="K76" s="782"/>
      <c r="L76" s="782"/>
      <c r="M76" s="782"/>
      <c r="N76" s="782"/>
      <c r="O76" s="782"/>
      <c r="P76" s="782"/>
      <c r="Q76" s="782"/>
      <c r="R76" s="782"/>
      <c r="S76" s="782"/>
      <c r="T76" s="782"/>
      <c r="U76" s="782"/>
      <c r="V76" s="782"/>
      <c r="W76" s="782"/>
      <c r="X76" s="782"/>
      <c r="Y76" s="782"/>
      <c r="Z76" s="782"/>
      <c r="AA76" s="782"/>
      <c r="AB76" s="782"/>
      <c r="AC76" s="782"/>
      <c r="AD76" s="782"/>
      <c r="AE76" s="782"/>
      <c r="AF76" s="782"/>
      <c r="AG76" s="782"/>
      <c r="AH76" s="782"/>
      <c r="AI76" s="782"/>
      <c r="AJ76" s="782"/>
      <c r="AK76" s="782"/>
      <c r="AL76" s="782"/>
      <c r="AM76" s="785"/>
      <c r="AN76" s="785"/>
      <c r="AO76" s="785"/>
      <c r="AP76" s="785"/>
      <c r="AQ76" s="785"/>
      <c r="AR76" s="785"/>
      <c r="AS76" s="785"/>
      <c r="AT76" s="785"/>
      <c r="AU76" s="785"/>
      <c r="AV76" s="785"/>
      <c r="AW76" s="785"/>
      <c r="AX76" s="785"/>
      <c r="AY76" s="785"/>
      <c r="AZ76" s="785"/>
      <c r="BA76" s="785"/>
      <c r="BB76" s="785"/>
      <c r="BC76" s="785"/>
      <c r="BD76" s="785"/>
      <c r="BE76" s="785"/>
      <c r="BF76" s="785"/>
      <c r="BG76" s="785"/>
      <c r="BH76" s="785"/>
      <c r="BI76" s="785"/>
      <c r="BJ76" s="785"/>
      <c r="BK76" s="785"/>
      <c r="BL76" s="785"/>
      <c r="BM76" s="785"/>
      <c r="BN76" s="785"/>
      <c r="BO76" s="785"/>
      <c r="BP76" s="785"/>
      <c r="BQ76" s="785"/>
      <c r="BR76" s="785"/>
      <c r="BS76" s="785"/>
      <c r="BT76" s="785"/>
      <c r="BU76" s="785"/>
      <c r="BV76" s="785"/>
      <c r="BW76" s="785"/>
      <c r="BX76" s="785"/>
      <c r="BY76" s="785"/>
      <c r="BZ76" s="785"/>
      <c r="CA76" s="782"/>
      <c r="CB76" s="782"/>
      <c r="CC76" s="782"/>
      <c r="CD76" s="782"/>
      <c r="CE76" s="782"/>
      <c r="CF76" s="782"/>
      <c r="CG76" s="782"/>
      <c r="CH76" s="782"/>
      <c r="CI76" s="782"/>
      <c r="CJ76" s="782"/>
      <c r="CK76" s="782"/>
      <c r="CL76" s="782"/>
      <c r="CM76" s="782"/>
      <c r="CN76" s="782"/>
      <c r="CO76" s="782"/>
      <c r="CP76" s="782"/>
      <c r="CQ76" s="782"/>
      <c r="CR76" s="782"/>
      <c r="CS76" s="782"/>
      <c r="CT76" s="782"/>
      <c r="CU76" s="782"/>
      <c r="CV76" s="782"/>
      <c r="CW76" s="782"/>
      <c r="CX76" s="782"/>
      <c r="CY76" s="782"/>
      <c r="CZ76" s="782"/>
      <c r="DA76" s="782"/>
      <c r="DB76" s="782"/>
      <c r="DC76" s="782"/>
      <c r="DD76" s="782"/>
      <c r="DE76" s="782"/>
      <c r="DF76" s="782"/>
      <c r="DG76" s="782"/>
      <c r="DH76" s="782"/>
      <c r="DI76" s="782"/>
      <c r="DJ76" s="782"/>
      <c r="DK76" s="782"/>
      <c r="DL76" s="782"/>
      <c r="DM76" s="782"/>
      <c r="DN76" s="782"/>
      <c r="DO76" s="782"/>
      <c r="DP76" s="782"/>
      <c r="DQ76" s="782"/>
      <c r="DR76" s="782"/>
      <c r="DS76" s="782"/>
      <c r="DT76" s="782"/>
      <c r="DU76" s="782"/>
      <c r="DV76" s="782"/>
      <c r="DW76" s="782"/>
      <c r="DX76" s="782"/>
      <c r="DY76" s="782"/>
      <c r="DZ76" s="782"/>
      <c r="EA76" s="782"/>
      <c r="EB76" s="782"/>
      <c r="EC76" s="782"/>
      <c r="ED76" s="782"/>
      <c r="EE76" s="782"/>
      <c r="EF76" s="782"/>
      <c r="EG76" s="782"/>
      <c r="EH76" s="782"/>
      <c r="EI76" s="782"/>
      <c r="EJ76" s="782"/>
      <c r="EK76" s="782"/>
      <c r="EL76" s="782"/>
      <c r="EM76" s="782"/>
      <c r="EN76" s="782"/>
      <c r="EO76" s="782"/>
      <c r="EP76" s="782"/>
      <c r="EQ76" s="782"/>
      <c r="ER76" s="782"/>
      <c r="ES76" s="782"/>
      <c r="ET76" s="782"/>
      <c r="EU76" s="782"/>
      <c r="EV76" s="782"/>
      <c r="EW76" s="782"/>
      <c r="EX76" s="782"/>
      <c r="EY76" s="782"/>
      <c r="EZ76" s="782"/>
      <c r="FA76" s="782"/>
      <c r="FB76" s="782"/>
      <c r="FC76" s="782"/>
      <c r="FD76" s="782"/>
      <c r="FE76" s="782"/>
      <c r="FF76" s="782"/>
      <c r="FG76" s="782"/>
      <c r="FH76" s="782"/>
      <c r="FI76" s="782"/>
      <c r="FJ76" s="782"/>
      <c r="FK76" s="782"/>
      <c r="FL76" s="782"/>
      <c r="FM76" s="782"/>
      <c r="FN76" s="782"/>
      <c r="FO76" s="782"/>
      <c r="FP76" s="782"/>
      <c r="FQ76" s="782"/>
      <c r="FR76" s="782"/>
      <c r="FS76" s="782"/>
      <c r="FT76" s="782"/>
      <c r="FU76" s="782"/>
      <c r="FV76" s="782"/>
      <c r="FW76" s="782"/>
      <c r="FX76" s="782"/>
      <c r="FY76" s="782"/>
      <c r="FZ76" s="782"/>
      <c r="GA76" s="782"/>
      <c r="GB76" s="782"/>
      <c r="GC76" s="782"/>
      <c r="GD76" s="782"/>
      <c r="GE76" s="782"/>
      <c r="GF76" s="782"/>
      <c r="GG76" s="782"/>
      <c r="GH76" s="782"/>
      <c r="GI76" s="782"/>
      <c r="GJ76" s="782"/>
      <c r="GK76" s="782"/>
      <c r="GL76" s="782"/>
      <c r="GM76" s="782"/>
      <c r="GN76" s="782"/>
      <c r="GO76" s="782"/>
      <c r="GP76" s="782"/>
      <c r="GQ76" s="782"/>
      <c r="GR76" s="782"/>
      <c r="GS76" s="782"/>
      <c r="GT76" s="782"/>
      <c r="GU76" s="782"/>
      <c r="GV76" s="782"/>
      <c r="GW76" s="782"/>
      <c r="GX76" s="782"/>
      <c r="GY76" s="782"/>
      <c r="GZ76" s="782"/>
      <c r="HA76" s="782"/>
      <c r="HB76" s="782"/>
      <c r="HC76" s="782"/>
      <c r="HD76" s="782"/>
      <c r="HE76" s="782"/>
      <c r="HF76" s="782"/>
      <c r="HG76" s="782"/>
      <c r="HH76" s="782"/>
      <c r="HI76" s="782"/>
      <c r="HJ76" s="782"/>
      <c r="HK76" s="782"/>
      <c r="HL76" s="782"/>
      <c r="HM76" s="782"/>
      <c r="HN76" s="782"/>
      <c r="HO76" s="782"/>
      <c r="HP76" s="782"/>
      <c r="HQ76" s="782"/>
      <c r="HR76" s="782"/>
      <c r="HS76" s="782"/>
      <c r="HT76" s="782"/>
      <c r="HU76" s="782"/>
      <c r="HV76" s="782"/>
      <c r="HW76" s="782"/>
      <c r="HX76" s="782"/>
      <c r="HY76" s="782"/>
      <c r="HZ76" s="782"/>
      <c r="IA76" s="782"/>
      <c r="IB76" s="782"/>
      <c r="IC76" s="782"/>
      <c r="ID76" s="782"/>
      <c r="IE76" s="782"/>
      <c r="IF76" s="782"/>
      <c r="IG76" s="782"/>
      <c r="IH76" s="782"/>
      <c r="II76" s="782"/>
      <c r="IJ76" s="782"/>
      <c r="IK76" s="782"/>
      <c r="IL76" s="782"/>
      <c r="IM76" s="782"/>
      <c r="IN76" s="782"/>
      <c r="IO76" s="782"/>
      <c r="IP76" s="782"/>
      <c r="IQ76" s="782"/>
      <c r="IR76" s="782"/>
      <c r="IS76" s="782"/>
      <c r="IT76" s="782"/>
      <c r="IU76" s="782"/>
      <c r="IV76" s="782"/>
      <c r="IW76" s="782"/>
      <c r="IX76" s="782"/>
      <c r="IY76" s="782"/>
      <c r="IZ76" s="782"/>
      <c r="JA76" s="782"/>
      <c r="JB76" s="782"/>
      <c r="JC76" s="782"/>
      <c r="JD76" s="782"/>
      <c r="JE76" s="782"/>
      <c r="JF76" s="782"/>
      <c r="JG76" s="782"/>
      <c r="JH76" s="782"/>
      <c r="JI76" s="782"/>
      <c r="JJ76" s="782"/>
      <c r="JK76" s="782"/>
      <c r="JL76" s="782"/>
      <c r="JM76" s="782"/>
      <c r="JN76" s="782"/>
      <c r="JO76" s="782"/>
      <c r="JP76" s="782"/>
      <c r="JQ76" s="782"/>
      <c r="JR76" s="782"/>
      <c r="JS76" s="782"/>
      <c r="JT76" s="782"/>
      <c r="JU76" s="782"/>
      <c r="JV76" s="782"/>
      <c r="JW76" s="782"/>
      <c r="JX76" s="782"/>
      <c r="JY76" s="782"/>
      <c r="JZ76" s="782"/>
      <c r="KA76" s="782"/>
      <c r="KB76" s="782"/>
      <c r="KC76" s="782"/>
      <c r="KD76" s="782"/>
      <c r="KE76" s="782"/>
      <c r="KF76" s="782"/>
      <c r="KG76" s="782"/>
      <c r="KH76" s="782"/>
      <c r="KI76" s="782"/>
      <c r="KJ76" s="782"/>
      <c r="KK76" s="782"/>
      <c r="KL76" s="782"/>
      <c r="KM76" s="782"/>
      <c r="KN76" s="782"/>
      <c r="KO76" s="782"/>
      <c r="KP76" s="782"/>
      <c r="KQ76" s="782"/>
      <c r="KR76" s="782"/>
      <c r="KS76" s="782"/>
      <c r="KT76" s="782"/>
      <c r="KU76" s="782"/>
      <c r="KV76" s="782"/>
      <c r="KW76" s="782"/>
      <c r="KX76" s="782"/>
      <c r="KY76" s="782"/>
      <c r="KZ76" s="782"/>
      <c r="LA76" s="782"/>
      <c r="LB76" s="782"/>
      <c r="LC76" s="782"/>
      <c r="LD76" s="782"/>
      <c r="LE76" s="782"/>
      <c r="LF76" s="782"/>
      <c r="LG76" s="782"/>
      <c r="LH76" s="782"/>
      <c r="LI76" s="782"/>
      <c r="LJ76" s="782"/>
      <c r="LK76" s="782"/>
      <c r="LL76" s="782"/>
      <c r="LM76" s="782"/>
      <c r="LN76" s="782"/>
      <c r="LO76" s="782"/>
      <c r="LP76" s="782"/>
      <c r="LQ76" s="782"/>
      <c r="LR76" s="782"/>
      <c r="LS76" s="782"/>
      <c r="LT76" s="782"/>
      <c r="LU76" s="782"/>
      <c r="LV76" s="782"/>
      <c r="LW76" s="782"/>
      <c r="LX76" s="782"/>
      <c r="LY76" s="782"/>
      <c r="LZ76" s="782"/>
      <c r="MA76" s="782"/>
      <c r="MB76" s="782"/>
      <c r="MC76" s="782"/>
      <c r="MD76" s="782"/>
      <c r="ME76" s="782"/>
      <c r="MF76" s="782"/>
      <c r="MG76" s="782"/>
      <c r="MH76" s="782"/>
      <c r="MI76" s="782"/>
      <c r="MJ76" s="782"/>
      <c r="MK76" s="782"/>
      <c r="ML76" s="782"/>
      <c r="MM76" s="782"/>
      <c r="MN76" s="782"/>
      <c r="MO76" s="782"/>
      <c r="MP76" s="782"/>
      <c r="MQ76" s="782"/>
      <c r="MR76" s="782"/>
      <c r="MS76" s="782"/>
      <c r="MT76" s="782"/>
      <c r="MU76" s="782"/>
      <c r="MV76" s="782"/>
      <c r="MW76" s="782"/>
      <c r="MX76" s="782"/>
      <c r="MY76" s="782"/>
      <c r="MZ76" s="782"/>
      <c r="NA76" s="782"/>
      <c r="NB76" s="782"/>
      <c r="NC76" s="782"/>
      <c r="ND76" s="782"/>
      <c r="NE76" s="782"/>
      <c r="NF76" s="782"/>
      <c r="NG76" s="782"/>
      <c r="NH76" s="782"/>
      <c r="NI76" s="782"/>
      <c r="NJ76" s="782"/>
      <c r="NK76" s="782"/>
      <c r="NL76" s="782"/>
      <c r="NM76" s="782"/>
      <c r="NN76" s="782"/>
      <c r="NO76" s="782"/>
      <c r="NP76" s="782"/>
      <c r="NQ76" s="782"/>
      <c r="NR76" s="782"/>
      <c r="NS76" s="782"/>
      <c r="NT76" s="782"/>
      <c r="NU76" s="782"/>
      <c r="NV76" s="782"/>
      <c r="NW76" s="782"/>
      <c r="NX76" s="782"/>
      <c r="NY76" s="782"/>
      <c r="NZ76" s="782"/>
      <c r="OA76" s="782"/>
      <c r="OB76" s="782"/>
      <c r="OC76" s="782"/>
      <c r="OD76" s="782"/>
      <c r="OE76" s="782"/>
      <c r="OF76" s="782"/>
      <c r="OG76" s="782"/>
      <c r="OH76" s="782"/>
      <c r="OI76" s="782"/>
      <c r="OJ76" s="782"/>
      <c r="OK76" s="782"/>
      <c r="OL76" s="782"/>
      <c r="OM76" s="782"/>
      <c r="ON76" s="782"/>
      <c r="OO76" s="782"/>
      <c r="OP76" s="782"/>
      <c r="OQ76" s="782"/>
      <c r="OR76" s="782"/>
      <c r="OS76" s="782"/>
      <c r="OT76" s="782"/>
      <c r="OU76" s="782"/>
      <c r="OV76" s="782"/>
      <c r="OW76" s="782"/>
      <c r="OX76" s="782"/>
      <c r="OY76" s="782"/>
      <c r="OZ76" s="782"/>
      <c r="PA76" s="782"/>
      <c r="PB76" s="782"/>
      <c r="PC76" s="782"/>
      <c r="PD76" s="782"/>
      <c r="PE76" s="782"/>
      <c r="PF76" s="782"/>
      <c r="PG76" s="782"/>
      <c r="PH76" s="782"/>
      <c r="PI76" s="782"/>
      <c r="PJ76" s="782"/>
      <c r="PK76" s="782"/>
      <c r="PL76" s="782"/>
      <c r="PM76" s="782"/>
      <c r="PN76" s="782"/>
      <c r="PO76" s="782"/>
      <c r="PP76" s="782"/>
      <c r="PQ76" s="782"/>
      <c r="PR76" s="782"/>
      <c r="PS76" s="782"/>
      <c r="PT76" s="782"/>
      <c r="PU76" s="782"/>
      <c r="PV76" s="782"/>
      <c r="PW76" s="782"/>
      <c r="PX76" s="782"/>
      <c r="PY76" s="782"/>
      <c r="PZ76" s="782"/>
      <c r="QA76" s="782"/>
      <c r="QB76" s="782"/>
      <c r="QC76" s="782"/>
      <c r="QD76" s="782"/>
      <c r="QE76" s="782"/>
      <c r="QF76" s="782"/>
      <c r="QG76" s="782"/>
      <c r="QH76" s="782"/>
      <c r="QI76" s="782"/>
      <c r="QJ76" s="782"/>
      <c r="QK76" s="782"/>
      <c r="QL76" s="782"/>
      <c r="QM76" s="782"/>
      <c r="QN76" s="782"/>
      <c r="QO76" s="782"/>
      <c r="QP76" s="782"/>
      <c r="QQ76" s="782"/>
      <c r="QR76" s="782"/>
      <c r="QS76" s="782"/>
      <c r="QT76" s="782"/>
      <c r="QU76" s="782"/>
      <c r="QV76" s="782"/>
      <c r="QW76" s="782"/>
      <c r="QX76" s="782"/>
      <c r="QY76" s="782"/>
      <c r="QZ76" s="782"/>
      <c r="RA76" s="782"/>
      <c r="RB76" s="782"/>
      <c r="RC76" s="782"/>
      <c r="RD76" s="782"/>
      <c r="RE76" s="782"/>
      <c r="RF76" s="782"/>
      <c r="RG76" s="782"/>
      <c r="RH76" s="782"/>
      <c r="RI76" s="782"/>
      <c r="RJ76" s="782"/>
      <c r="RK76" s="782"/>
      <c r="RL76" s="782"/>
      <c r="RM76" s="782"/>
      <c r="RN76" s="782"/>
      <c r="RO76" s="782"/>
      <c r="RP76" s="782"/>
      <c r="RQ76" s="782"/>
      <c r="RR76" s="782"/>
      <c r="RS76" s="782"/>
      <c r="RT76" s="782"/>
      <c r="RU76" s="782"/>
      <c r="RV76" s="782"/>
      <c r="RW76" s="782"/>
      <c r="RX76" s="782"/>
    </row>
    <row r="77" spans="1:492" s="143" customFormat="1">
      <c r="A77" s="782"/>
      <c r="B77" s="782"/>
      <c r="C77" s="782"/>
      <c r="D77" s="782"/>
      <c r="E77" s="782"/>
      <c r="F77" s="782"/>
      <c r="G77" s="782"/>
      <c r="H77" s="782"/>
      <c r="I77" s="782"/>
      <c r="J77" s="782"/>
      <c r="K77" s="782"/>
      <c r="L77" s="782"/>
      <c r="M77" s="782"/>
      <c r="N77" s="782"/>
      <c r="O77" s="782"/>
      <c r="P77" s="782"/>
      <c r="Q77" s="782"/>
      <c r="R77" s="782"/>
      <c r="S77" s="782"/>
      <c r="T77" s="782"/>
      <c r="U77" s="782"/>
      <c r="V77" s="782"/>
      <c r="W77" s="782"/>
      <c r="X77" s="782"/>
      <c r="Y77" s="782"/>
      <c r="Z77" s="782"/>
      <c r="AA77" s="782"/>
      <c r="AB77" s="782"/>
      <c r="AC77" s="782"/>
      <c r="AD77" s="782"/>
      <c r="AE77" s="782"/>
      <c r="AF77" s="782"/>
      <c r="AG77" s="782"/>
      <c r="AH77" s="782"/>
      <c r="AI77" s="782"/>
      <c r="AJ77" s="782"/>
      <c r="AK77" s="782"/>
      <c r="AL77" s="782"/>
      <c r="AM77" s="785"/>
      <c r="AN77" s="785"/>
      <c r="AO77" s="785"/>
      <c r="AP77" s="785"/>
      <c r="AQ77" s="785"/>
      <c r="AR77" s="785"/>
      <c r="AS77" s="785"/>
      <c r="AT77" s="785"/>
      <c r="AU77" s="785"/>
      <c r="AV77" s="785"/>
      <c r="AW77" s="785"/>
      <c r="AX77" s="785"/>
      <c r="AY77" s="785"/>
      <c r="AZ77" s="785"/>
      <c r="BA77" s="785"/>
      <c r="BB77" s="785"/>
      <c r="BC77" s="785"/>
      <c r="BD77" s="785"/>
      <c r="BE77" s="785"/>
      <c r="BF77" s="785"/>
      <c r="BG77" s="785"/>
      <c r="BH77" s="785"/>
      <c r="BI77" s="785"/>
      <c r="BJ77" s="785"/>
      <c r="BK77" s="785"/>
      <c r="BL77" s="785"/>
      <c r="BM77" s="785"/>
      <c r="BN77" s="785"/>
      <c r="BO77" s="785"/>
      <c r="BP77" s="785"/>
      <c r="BQ77" s="785"/>
      <c r="BR77" s="785"/>
      <c r="BS77" s="785"/>
      <c r="BT77" s="785"/>
      <c r="BU77" s="785"/>
      <c r="BV77" s="785"/>
      <c r="BW77" s="785"/>
      <c r="BX77" s="785"/>
      <c r="BY77" s="785"/>
      <c r="BZ77" s="785"/>
      <c r="CA77" s="782"/>
      <c r="CB77" s="782"/>
      <c r="CC77" s="782"/>
      <c r="CD77" s="782"/>
      <c r="CE77" s="782"/>
      <c r="CF77" s="782"/>
      <c r="CG77" s="782"/>
      <c r="CH77" s="782"/>
      <c r="CI77" s="782"/>
      <c r="CJ77" s="782"/>
      <c r="CK77" s="782"/>
      <c r="CL77" s="782"/>
      <c r="CM77" s="782"/>
      <c r="CN77" s="782"/>
      <c r="CO77" s="782"/>
      <c r="CP77" s="782"/>
      <c r="CQ77" s="782"/>
      <c r="CR77" s="782"/>
      <c r="CS77" s="782"/>
      <c r="CT77" s="782"/>
      <c r="CU77" s="782"/>
      <c r="CV77" s="782"/>
      <c r="CW77" s="782"/>
      <c r="CX77" s="782"/>
      <c r="CY77" s="782"/>
      <c r="CZ77" s="782"/>
      <c r="DA77" s="782"/>
      <c r="DB77" s="782"/>
      <c r="DC77" s="782"/>
      <c r="DD77" s="782"/>
      <c r="DE77" s="782"/>
      <c r="DF77" s="782"/>
      <c r="DG77" s="782"/>
      <c r="DH77" s="782"/>
      <c r="DI77" s="782"/>
      <c r="DJ77" s="782"/>
      <c r="DK77" s="782"/>
      <c r="DL77" s="782"/>
      <c r="DM77" s="782"/>
      <c r="DN77" s="782"/>
      <c r="DO77" s="782"/>
      <c r="DP77" s="782"/>
      <c r="DQ77" s="782"/>
      <c r="DR77" s="782"/>
      <c r="DS77" s="782"/>
      <c r="DT77" s="782"/>
      <c r="DU77" s="782"/>
      <c r="DV77" s="782"/>
      <c r="DW77" s="782"/>
      <c r="DX77" s="782"/>
      <c r="DY77" s="782"/>
      <c r="DZ77" s="782"/>
      <c r="EA77" s="782"/>
      <c r="EB77" s="782"/>
      <c r="EC77" s="782"/>
      <c r="ED77" s="782"/>
      <c r="EE77" s="782"/>
      <c r="EF77" s="782"/>
      <c r="EG77" s="782"/>
      <c r="EH77" s="782"/>
      <c r="EI77" s="782"/>
      <c r="EJ77" s="782"/>
      <c r="EK77" s="782"/>
      <c r="EL77" s="782"/>
      <c r="EM77" s="782"/>
      <c r="EN77" s="782"/>
      <c r="EO77" s="782"/>
      <c r="EP77" s="782"/>
      <c r="EQ77" s="782"/>
      <c r="ER77" s="782"/>
      <c r="ES77" s="782"/>
      <c r="ET77" s="782"/>
      <c r="EU77" s="782"/>
      <c r="EV77" s="782"/>
      <c r="EW77" s="782"/>
      <c r="EX77" s="782"/>
      <c r="EY77" s="782"/>
      <c r="EZ77" s="782"/>
      <c r="FA77" s="782"/>
      <c r="FB77" s="782"/>
      <c r="FC77" s="782"/>
      <c r="FD77" s="782"/>
      <c r="FE77" s="782"/>
      <c r="FF77" s="782"/>
      <c r="FG77" s="782"/>
      <c r="FH77" s="782"/>
      <c r="FI77" s="782"/>
      <c r="FJ77" s="782"/>
      <c r="FK77" s="782"/>
      <c r="FL77" s="782"/>
      <c r="FM77" s="782"/>
      <c r="FN77" s="782"/>
      <c r="FO77" s="782"/>
      <c r="FP77" s="782"/>
      <c r="FQ77" s="782"/>
      <c r="FR77" s="782"/>
      <c r="FS77" s="782"/>
      <c r="FT77" s="782"/>
      <c r="FU77" s="782"/>
      <c r="FV77" s="782"/>
      <c r="FW77" s="782"/>
      <c r="FX77" s="782"/>
      <c r="FY77" s="782"/>
      <c r="FZ77" s="782"/>
      <c r="GA77" s="782"/>
      <c r="GB77" s="782"/>
      <c r="GC77" s="782"/>
      <c r="GD77" s="782"/>
      <c r="GE77" s="782"/>
      <c r="GF77" s="782"/>
      <c r="GG77" s="782"/>
      <c r="GH77" s="782"/>
      <c r="GI77" s="782"/>
      <c r="GJ77" s="782"/>
      <c r="GK77" s="782"/>
      <c r="GL77" s="782"/>
      <c r="GM77" s="782"/>
      <c r="GN77" s="782"/>
      <c r="GO77" s="782"/>
      <c r="GP77" s="782"/>
      <c r="GQ77" s="782"/>
      <c r="GR77" s="782"/>
      <c r="GS77" s="782"/>
      <c r="GT77" s="782"/>
      <c r="GU77" s="782"/>
      <c r="GV77" s="782"/>
      <c r="GW77" s="782"/>
      <c r="GX77" s="782"/>
      <c r="GY77" s="782"/>
      <c r="GZ77" s="782"/>
      <c r="HA77" s="782"/>
      <c r="HB77" s="782"/>
      <c r="HC77" s="782"/>
      <c r="HD77" s="782"/>
      <c r="HE77" s="782"/>
      <c r="HF77" s="782"/>
      <c r="HG77" s="782"/>
      <c r="HH77" s="782"/>
      <c r="HI77" s="782"/>
      <c r="HJ77" s="782"/>
      <c r="HK77" s="782"/>
      <c r="HL77" s="782"/>
      <c r="HM77" s="782"/>
      <c r="HN77" s="782"/>
      <c r="HO77" s="782"/>
      <c r="HP77" s="782"/>
      <c r="HQ77" s="782"/>
      <c r="HR77" s="782"/>
      <c r="HS77" s="782"/>
      <c r="HT77" s="782"/>
      <c r="HU77" s="782"/>
      <c r="HV77" s="782"/>
      <c r="HW77" s="782"/>
      <c r="HX77" s="782"/>
      <c r="HY77" s="782"/>
      <c r="HZ77" s="782"/>
      <c r="IA77" s="782"/>
      <c r="IB77" s="782"/>
      <c r="IC77" s="782"/>
      <c r="ID77" s="782"/>
      <c r="IE77" s="782"/>
      <c r="IF77" s="782"/>
      <c r="IG77" s="782"/>
      <c r="IH77" s="782"/>
      <c r="II77" s="782"/>
      <c r="IJ77" s="782"/>
      <c r="IK77" s="782"/>
      <c r="IL77" s="782"/>
      <c r="IM77" s="782"/>
      <c r="IN77" s="782"/>
      <c r="IO77" s="782"/>
      <c r="IP77" s="782"/>
      <c r="IQ77" s="782"/>
      <c r="IR77" s="782"/>
      <c r="IS77" s="782"/>
      <c r="IT77" s="782"/>
      <c r="IU77" s="782"/>
      <c r="IV77" s="782"/>
      <c r="IW77" s="782"/>
      <c r="IX77" s="782"/>
      <c r="IY77" s="782"/>
      <c r="IZ77" s="782"/>
      <c r="JA77" s="782"/>
      <c r="JB77" s="782"/>
      <c r="JC77" s="782"/>
      <c r="JD77" s="782"/>
      <c r="JE77" s="782"/>
      <c r="JF77" s="782"/>
      <c r="JG77" s="782"/>
      <c r="JH77" s="782"/>
      <c r="JI77" s="782"/>
      <c r="JJ77" s="782"/>
      <c r="JK77" s="782"/>
      <c r="JL77" s="782"/>
      <c r="JM77" s="782"/>
      <c r="JN77" s="782"/>
      <c r="JO77" s="782"/>
      <c r="JP77" s="782"/>
      <c r="JQ77" s="782"/>
      <c r="JR77" s="782"/>
      <c r="JS77" s="782"/>
      <c r="JT77" s="782"/>
      <c r="JU77" s="782"/>
      <c r="JV77" s="782"/>
      <c r="JW77" s="782"/>
      <c r="JX77" s="782"/>
      <c r="JY77" s="782"/>
      <c r="JZ77" s="782"/>
      <c r="KA77" s="782"/>
      <c r="KB77" s="782"/>
      <c r="KC77" s="782"/>
      <c r="KD77" s="782"/>
      <c r="KE77" s="782"/>
      <c r="KF77" s="782"/>
      <c r="KG77" s="782"/>
      <c r="KH77" s="782"/>
      <c r="KI77" s="782"/>
      <c r="KJ77" s="782"/>
      <c r="KK77" s="782"/>
      <c r="KL77" s="782"/>
      <c r="KM77" s="782"/>
      <c r="KN77" s="782"/>
      <c r="KO77" s="782"/>
      <c r="KP77" s="782"/>
      <c r="KQ77" s="782"/>
      <c r="KR77" s="782"/>
      <c r="KS77" s="782"/>
      <c r="KT77" s="782"/>
      <c r="KU77" s="782"/>
      <c r="KV77" s="782"/>
      <c r="KW77" s="782"/>
      <c r="KX77" s="782"/>
      <c r="KY77" s="782"/>
      <c r="KZ77" s="782"/>
      <c r="LA77" s="782"/>
      <c r="LB77" s="782"/>
      <c r="LC77" s="782"/>
      <c r="LD77" s="782"/>
      <c r="LE77" s="782"/>
      <c r="LF77" s="782"/>
      <c r="LG77" s="782"/>
      <c r="LH77" s="782"/>
      <c r="LI77" s="782"/>
      <c r="LJ77" s="782"/>
      <c r="LK77" s="782"/>
      <c r="LL77" s="782"/>
      <c r="LM77" s="782"/>
      <c r="LN77" s="782"/>
      <c r="LO77" s="782"/>
      <c r="LP77" s="782"/>
      <c r="LQ77" s="782"/>
      <c r="LR77" s="782"/>
      <c r="LS77" s="782"/>
      <c r="LT77" s="782"/>
      <c r="LU77" s="782"/>
      <c r="LV77" s="782"/>
      <c r="LW77" s="782"/>
      <c r="LX77" s="782"/>
      <c r="LY77" s="782"/>
      <c r="LZ77" s="782"/>
      <c r="MA77" s="782"/>
      <c r="MB77" s="782"/>
      <c r="MC77" s="782"/>
      <c r="MD77" s="782"/>
      <c r="ME77" s="782"/>
      <c r="MF77" s="782"/>
      <c r="MG77" s="782"/>
      <c r="MH77" s="782"/>
      <c r="MI77" s="782"/>
      <c r="MJ77" s="782"/>
      <c r="MK77" s="782"/>
      <c r="ML77" s="782"/>
      <c r="MM77" s="782"/>
      <c r="MN77" s="782"/>
      <c r="MO77" s="782"/>
      <c r="MP77" s="782"/>
      <c r="MQ77" s="782"/>
      <c r="MR77" s="782"/>
      <c r="MS77" s="782"/>
      <c r="MT77" s="782"/>
      <c r="MU77" s="782"/>
      <c r="MV77" s="782"/>
      <c r="MW77" s="782"/>
      <c r="MX77" s="782"/>
      <c r="MY77" s="782"/>
      <c r="MZ77" s="782"/>
      <c r="NA77" s="782"/>
      <c r="NB77" s="782"/>
      <c r="NC77" s="782"/>
      <c r="ND77" s="782"/>
      <c r="NE77" s="782"/>
      <c r="NF77" s="782"/>
      <c r="NG77" s="782"/>
      <c r="NH77" s="782"/>
      <c r="NI77" s="782"/>
      <c r="NJ77" s="782"/>
      <c r="NK77" s="782"/>
      <c r="NL77" s="782"/>
      <c r="NM77" s="782"/>
      <c r="NN77" s="782"/>
      <c r="NO77" s="782"/>
      <c r="NP77" s="782"/>
      <c r="NQ77" s="782"/>
      <c r="NR77" s="782"/>
      <c r="NS77" s="782"/>
      <c r="NT77" s="782"/>
      <c r="NU77" s="782"/>
      <c r="NV77" s="782"/>
      <c r="NW77" s="782"/>
      <c r="NX77" s="782"/>
      <c r="NY77" s="782"/>
      <c r="NZ77" s="782"/>
      <c r="OA77" s="782"/>
      <c r="OB77" s="782"/>
      <c r="OC77" s="782"/>
      <c r="OD77" s="782"/>
      <c r="OE77" s="782"/>
      <c r="OF77" s="782"/>
      <c r="OG77" s="782"/>
      <c r="OH77" s="782"/>
      <c r="OI77" s="782"/>
      <c r="OJ77" s="782"/>
      <c r="OK77" s="782"/>
      <c r="OL77" s="782"/>
      <c r="OM77" s="782"/>
      <c r="ON77" s="782"/>
      <c r="OO77" s="782"/>
      <c r="OP77" s="782"/>
      <c r="OQ77" s="782"/>
      <c r="OR77" s="782"/>
      <c r="OS77" s="782"/>
      <c r="OT77" s="782"/>
      <c r="OU77" s="782"/>
      <c r="OV77" s="782"/>
      <c r="OW77" s="782"/>
      <c r="OX77" s="782"/>
      <c r="OY77" s="782"/>
      <c r="OZ77" s="782"/>
      <c r="PA77" s="782"/>
      <c r="PB77" s="782"/>
      <c r="PC77" s="782"/>
      <c r="PD77" s="782"/>
      <c r="PE77" s="782"/>
      <c r="PF77" s="782"/>
      <c r="PG77" s="782"/>
      <c r="PH77" s="782"/>
      <c r="PI77" s="782"/>
      <c r="PJ77" s="782"/>
      <c r="PK77" s="782"/>
      <c r="PL77" s="782"/>
      <c r="PM77" s="782"/>
      <c r="PN77" s="782"/>
      <c r="PO77" s="782"/>
      <c r="PP77" s="782"/>
      <c r="PQ77" s="782"/>
      <c r="PR77" s="782"/>
      <c r="PS77" s="782"/>
      <c r="PT77" s="782"/>
      <c r="PU77" s="782"/>
      <c r="PV77" s="782"/>
      <c r="PW77" s="782"/>
      <c r="PX77" s="782"/>
      <c r="PY77" s="782"/>
      <c r="PZ77" s="782"/>
      <c r="QA77" s="782"/>
      <c r="QB77" s="782"/>
      <c r="QC77" s="782"/>
      <c r="QD77" s="782"/>
      <c r="QE77" s="782"/>
      <c r="QF77" s="782"/>
      <c r="QG77" s="782"/>
      <c r="QH77" s="782"/>
      <c r="QI77" s="782"/>
      <c r="QJ77" s="782"/>
      <c r="QK77" s="782"/>
      <c r="QL77" s="782"/>
      <c r="QM77" s="782"/>
      <c r="QN77" s="782"/>
      <c r="QO77" s="782"/>
      <c r="QP77" s="782"/>
      <c r="QQ77" s="782"/>
      <c r="QR77" s="782"/>
      <c r="QS77" s="782"/>
      <c r="QT77" s="782"/>
      <c r="QU77" s="782"/>
      <c r="QV77" s="782"/>
      <c r="QW77" s="782"/>
      <c r="QX77" s="782"/>
      <c r="QY77" s="782"/>
      <c r="QZ77" s="782"/>
      <c r="RA77" s="782"/>
      <c r="RB77" s="782"/>
      <c r="RC77" s="782"/>
      <c r="RD77" s="782"/>
      <c r="RE77" s="782"/>
      <c r="RF77" s="782"/>
      <c r="RG77" s="782"/>
      <c r="RH77" s="782"/>
      <c r="RI77" s="782"/>
      <c r="RJ77" s="782"/>
      <c r="RK77" s="782"/>
      <c r="RL77" s="782"/>
      <c r="RM77" s="782"/>
      <c r="RN77" s="782"/>
      <c r="RO77" s="782"/>
      <c r="RP77" s="782"/>
      <c r="RQ77" s="782"/>
      <c r="RR77" s="782"/>
      <c r="RS77" s="782"/>
      <c r="RT77" s="782"/>
      <c r="RU77" s="782"/>
      <c r="RV77" s="782"/>
      <c r="RW77" s="782"/>
      <c r="RX77" s="782"/>
    </row>
    <row r="78" spans="1:492" s="143" customFormat="1">
      <c r="A78" s="782"/>
      <c r="B78" s="782"/>
      <c r="C78" s="782"/>
      <c r="D78" s="782"/>
      <c r="E78" s="782"/>
      <c r="F78" s="782"/>
      <c r="G78" s="782"/>
      <c r="H78" s="782"/>
      <c r="I78" s="782"/>
      <c r="J78" s="782"/>
      <c r="K78" s="782"/>
      <c r="L78" s="782"/>
      <c r="M78" s="782"/>
      <c r="N78" s="782"/>
      <c r="O78" s="782"/>
      <c r="P78" s="782"/>
      <c r="Q78" s="782"/>
      <c r="R78" s="782"/>
      <c r="S78" s="782"/>
      <c r="T78" s="782"/>
      <c r="U78" s="782"/>
      <c r="V78" s="782"/>
      <c r="W78" s="782"/>
      <c r="X78" s="782"/>
      <c r="Y78" s="782"/>
      <c r="Z78" s="782"/>
      <c r="AA78" s="782"/>
      <c r="AB78" s="782"/>
      <c r="AC78" s="782"/>
      <c r="AD78" s="782"/>
      <c r="AE78" s="782"/>
      <c r="AF78" s="782"/>
      <c r="AG78" s="782"/>
      <c r="AH78" s="782"/>
      <c r="AI78" s="782"/>
      <c r="AJ78" s="782"/>
      <c r="AK78" s="782"/>
      <c r="AL78" s="782"/>
      <c r="AM78" s="785"/>
      <c r="AN78" s="785"/>
      <c r="AO78" s="785"/>
      <c r="AP78" s="785"/>
      <c r="AQ78" s="785"/>
      <c r="AR78" s="785"/>
      <c r="AS78" s="785"/>
      <c r="AT78" s="785"/>
      <c r="AU78" s="785"/>
      <c r="AV78" s="785"/>
      <c r="AW78" s="785"/>
      <c r="AX78" s="785"/>
      <c r="AY78" s="785"/>
      <c r="AZ78" s="785"/>
      <c r="BA78" s="785"/>
      <c r="BB78" s="785"/>
      <c r="BC78" s="785"/>
      <c r="BD78" s="785"/>
      <c r="BE78" s="785"/>
      <c r="BF78" s="785"/>
      <c r="BG78" s="785"/>
      <c r="BH78" s="785"/>
      <c r="BI78" s="785"/>
      <c r="BJ78" s="785"/>
      <c r="BK78" s="785"/>
      <c r="BL78" s="785"/>
      <c r="BM78" s="785"/>
      <c r="BN78" s="785"/>
      <c r="BO78" s="785"/>
      <c r="BP78" s="785"/>
      <c r="BQ78" s="785"/>
      <c r="BR78" s="785"/>
      <c r="BS78" s="785"/>
      <c r="BT78" s="785"/>
      <c r="BU78" s="785"/>
      <c r="BV78" s="785"/>
      <c r="BW78" s="785"/>
      <c r="BX78" s="785"/>
      <c r="BY78" s="785"/>
      <c r="BZ78" s="785"/>
      <c r="CA78" s="782"/>
      <c r="CB78" s="782"/>
      <c r="CC78" s="782"/>
      <c r="CD78" s="782"/>
      <c r="CE78" s="782"/>
      <c r="CF78" s="782"/>
      <c r="CG78" s="782"/>
      <c r="CH78" s="782"/>
      <c r="CI78" s="782"/>
      <c r="CJ78" s="782"/>
      <c r="CK78" s="782"/>
      <c r="CL78" s="782"/>
      <c r="CM78" s="782"/>
      <c r="CN78" s="782"/>
      <c r="CO78" s="782"/>
      <c r="CP78" s="782"/>
      <c r="CQ78" s="782"/>
      <c r="CR78" s="782"/>
      <c r="CS78" s="782"/>
      <c r="CT78" s="782"/>
      <c r="CU78" s="782"/>
      <c r="CV78" s="782"/>
      <c r="CW78" s="782"/>
      <c r="CX78" s="782"/>
      <c r="CY78" s="782"/>
      <c r="CZ78" s="782"/>
      <c r="DA78" s="782"/>
      <c r="DB78" s="782"/>
      <c r="DC78" s="782"/>
      <c r="DD78" s="782"/>
      <c r="DE78" s="782"/>
      <c r="DF78" s="782"/>
      <c r="DG78" s="782"/>
      <c r="DH78" s="782"/>
      <c r="DI78" s="782"/>
      <c r="DJ78" s="782"/>
      <c r="DK78" s="782"/>
      <c r="DL78" s="782"/>
      <c r="DM78" s="782"/>
      <c r="DN78" s="782"/>
      <c r="DO78" s="782"/>
      <c r="DP78" s="782"/>
      <c r="DQ78" s="782"/>
      <c r="DR78" s="782"/>
      <c r="DS78" s="782"/>
      <c r="DT78" s="782"/>
      <c r="DU78" s="782"/>
      <c r="DV78" s="782"/>
      <c r="DW78" s="782"/>
      <c r="DX78" s="782"/>
      <c r="DY78" s="782"/>
      <c r="DZ78" s="782"/>
      <c r="EA78" s="782"/>
      <c r="EB78" s="782"/>
      <c r="EC78" s="782"/>
      <c r="ED78" s="782"/>
      <c r="EE78" s="782"/>
      <c r="EF78" s="782"/>
      <c r="EG78" s="782"/>
      <c r="EH78" s="782"/>
      <c r="EI78" s="782"/>
      <c r="EJ78" s="782"/>
      <c r="EK78" s="782"/>
      <c r="EL78" s="782"/>
      <c r="EM78" s="782"/>
      <c r="EN78" s="782"/>
      <c r="EO78" s="782"/>
      <c r="EP78" s="782"/>
      <c r="EQ78" s="782"/>
      <c r="ER78" s="782"/>
      <c r="ES78" s="782"/>
      <c r="ET78" s="782"/>
      <c r="EU78" s="782"/>
      <c r="EV78" s="782"/>
      <c r="EW78" s="782"/>
      <c r="EX78" s="782"/>
      <c r="EY78" s="782"/>
      <c r="EZ78" s="782"/>
      <c r="FA78" s="782"/>
      <c r="FB78" s="782"/>
      <c r="FC78" s="782"/>
      <c r="FD78" s="782"/>
      <c r="FE78" s="782"/>
      <c r="FF78" s="782"/>
      <c r="FG78" s="782"/>
      <c r="FH78" s="782"/>
      <c r="FI78" s="782"/>
      <c r="FJ78" s="782"/>
      <c r="FK78" s="782"/>
      <c r="FL78" s="782"/>
      <c r="FM78" s="782"/>
      <c r="FN78" s="782"/>
      <c r="FO78" s="782"/>
      <c r="FP78" s="782"/>
      <c r="FQ78" s="782"/>
      <c r="FR78" s="782"/>
      <c r="FS78" s="782"/>
      <c r="FT78" s="782"/>
      <c r="FU78" s="782"/>
      <c r="FV78" s="782"/>
      <c r="FW78" s="782"/>
      <c r="FX78" s="782"/>
      <c r="FY78" s="782"/>
      <c r="FZ78" s="782"/>
      <c r="GA78" s="782"/>
      <c r="GB78" s="782"/>
      <c r="GC78" s="782"/>
      <c r="GD78" s="782"/>
      <c r="GE78" s="782"/>
      <c r="GF78" s="782"/>
      <c r="GG78" s="782"/>
      <c r="GH78" s="782"/>
      <c r="GI78" s="782"/>
      <c r="GJ78" s="782"/>
      <c r="GK78" s="782"/>
      <c r="GL78" s="782"/>
      <c r="GM78" s="782"/>
      <c r="GN78" s="782"/>
      <c r="GO78" s="782"/>
      <c r="GP78" s="782"/>
      <c r="GQ78" s="782"/>
      <c r="GR78" s="782"/>
      <c r="GS78" s="782"/>
      <c r="GT78" s="782"/>
      <c r="GU78" s="782"/>
      <c r="GV78" s="782"/>
      <c r="GW78" s="782"/>
      <c r="GX78" s="782"/>
      <c r="GY78" s="782"/>
      <c r="GZ78" s="782"/>
      <c r="HA78" s="782"/>
      <c r="HB78" s="782"/>
      <c r="HC78" s="782"/>
      <c r="HD78" s="782"/>
      <c r="HE78" s="782"/>
      <c r="HF78" s="782"/>
      <c r="HG78" s="782"/>
      <c r="HH78" s="782"/>
      <c r="HI78" s="782"/>
      <c r="HJ78" s="782"/>
      <c r="HK78" s="782"/>
      <c r="HL78" s="782"/>
      <c r="HM78" s="782"/>
      <c r="HN78" s="782"/>
      <c r="HO78" s="782"/>
      <c r="HP78" s="782"/>
      <c r="HQ78" s="782"/>
      <c r="HR78" s="782"/>
      <c r="HS78" s="782"/>
      <c r="HT78" s="782"/>
      <c r="HU78" s="782"/>
      <c r="HV78" s="782"/>
      <c r="HW78" s="782"/>
      <c r="HX78" s="782"/>
      <c r="HY78" s="782"/>
      <c r="HZ78" s="782"/>
      <c r="IA78" s="782"/>
      <c r="IB78" s="782"/>
      <c r="IC78" s="782"/>
      <c r="ID78" s="782"/>
      <c r="IE78" s="782"/>
      <c r="IF78" s="782"/>
      <c r="IG78" s="782"/>
      <c r="IH78" s="782"/>
      <c r="II78" s="782"/>
      <c r="IJ78" s="782"/>
      <c r="IK78" s="782"/>
      <c r="IL78" s="782"/>
      <c r="IM78" s="782"/>
      <c r="IN78" s="782"/>
      <c r="IO78" s="782"/>
      <c r="IP78" s="782"/>
      <c r="IQ78" s="782"/>
      <c r="IR78" s="782"/>
      <c r="IS78" s="782"/>
      <c r="IT78" s="782"/>
      <c r="IU78" s="782"/>
      <c r="IV78" s="782"/>
      <c r="IW78" s="782"/>
      <c r="IX78" s="782"/>
      <c r="IY78" s="782"/>
      <c r="IZ78" s="782"/>
      <c r="JA78" s="782"/>
      <c r="JB78" s="782"/>
      <c r="JC78" s="782"/>
      <c r="JD78" s="782"/>
      <c r="JE78" s="782"/>
      <c r="JF78" s="782"/>
      <c r="JG78" s="782"/>
      <c r="JH78" s="782"/>
      <c r="JI78" s="782"/>
      <c r="JJ78" s="782"/>
      <c r="JK78" s="782"/>
      <c r="JL78" s="782"/>
      <c r="JM78" s="782"/>
      <c r="JN78" s="782"/>
      <c r="JO78" s="782"/>
      <c r="JP78" s="782"/>
      <c r="JQ78" s="782"/>
      <c r="JR78" s="782"/>
      <c r="JS78" s="782"/>
      <c r="JT78" s="782"/>
      <c r="JU78" s="782"/>
      <c r="JV78" s="782"/>
      <c r="JW78" s="782"/>
      <c r="JX78" s="782"/>
      <c r="JY78" s="782"/>
      <c r="JZ78" s="782"/>
      <c r="KA78" s="782"/>
      <c r="KB78" s="782"/>
      <c r="KC78" s="782"/>
      <c r="KD78" s="782"/>
      <c r="KE78" s="782"/>
      <c r="KF78" s="782"/>
      <c r="KG78" s="782"/>
      <c r="KH78" s="782"/>
      <c r="KI78" s="782"/>
      <c r="KJ78" s="782"/>
      <c r="KK78" s="782"/>
      <c r="KL78" s="782"/>
      <c r="KM78" s="782"/>
      <c r="KN78" s="782"/>
      <c r="KO78" s="782"/>
      <c r="KP78" s="782"/>
      <c r="KQ78" s="782"/>
      <c r="KR78" s="782"/>
      <c r="KS78" s="782"/>
      <c r="KT78" s="782"/>
      <c r="KU78" s="782"/>
      <c r="KV78" s="782"/>
      <c r="KW78" s="782"/>
      <c r="KX78" s="782"/>
      <c r="KY78" s="782"/>
      <c r="KZ78" s="782"/>
      <c r="LA78" s="782"/>
      <c r="LB78" s="782"/>
      <c r="LC78" s="782"/>
      <c r="LD78" s="782"/>
      <c r="LE78" s="782"/>
      <c r="LF78" s="782"/>
      <c r="LG78" s="782"/>
      <c r="LH78" s="782"/>
      <c r="LI78" s="782"/>
      <c r="LJ78" s="782"/>
      <c r="LK78" s="782"/>
      <c r="LL78" s="782"/>
      <c r="LM78" s="782"/>
      <c r="LN78" s="782"/>
      <c r="LO78" s="782"/>
      <c r="LP78" s="782"/>
      <c r="LQ78" s="782"/>
      <c r="LR78" s="782"/>
      <c r="LS78" s="782"/>
      <c r="LT78" s="782"/>
      <c r="LU78" s="782"/>
      <c r="LV78" s="782"/>
      <c r="LW78" s="782"/>
      <c r="LX78" s="782"/>
      <c r="LY78" s="782"/>
      <c r="LZ78" s="782"/>
      <c r="MA78" s="782"/>
      <c r="MB78" s="782"/>
      <c r="MC78" s="782"/>
      <c r="MD78" s="782"/>
      <c r="ME78" s="782"/>
      <c r="MF78" s="782"/>
      <c r="MG78" s="782"/>
      <c r="MH78" s="782"/>
      <c r="MI78" s="782"/>
      <c r="MJ78" s="782"/>
      <c r="MK78" s="782"/>
      <c r="ML78" s="782"/>
      <c r="MM78" s="782"/>
      <c r="MN78" s="782"/>
      <c r="MO78" s="782"/>
      <c r="MP78" s="782"/>
      <c r="MQ78" s="782"/>
      <c r="MR78" s="782"/>
      <c r="MS78" s="782"/>
      <c r="MT78" s="782"/>
      <c r="MU78" s="782"/>
      <c r="MV78" s="782"/>
      <c r="MW78" s="782"/>
      <c r="MX78" s="782"/>
      <c r="MY78" s="782"/>
      <c r="MZ78" s="782"/>
      <c r="NA78" s="782"/>
      <c r="NB78" s="782"/>
      <c r="NC78" s="782"/>
      <c r="ND78" s="782"/>
      <c r="NE78" s="782"/>
      <c r="NF78" s="782"/>
      <c r="NG78" s="782"/>
      <c r="NH78" s="782"/>
      <c r="NI78" s="782"/>
      <c r="NJ78" s="782"/>
      <c r="NK78" s="782"/>
      <c r="NL78" s="782"/>
      <c r="NM78" s="782"/>
      <c r="NN78" s="782"/>
      <c r="NO78" s="782"/>
      <c r="NP78" s="782"/>
      <c r="NQ78" s="782"/>
      <c r="NR78" s="782"/>
      <c r="NS78" s="782"/>
      <c r="NT78" s="782"/>
      <c r="NU78" s="782"/>
      <c r="NV78" s="782"/>
      <c r="NW78" s="782"/>
      <c r="NX78" s="782"/>
      <c r="NY78" s="782"/>
      <c r="NZ78" s="782"/>
      <c r="OA78" s="782"/>
      <c r="OB78" s="782"/>
      <c r="OC78" s="782"/>
      <c r="OD78" s="782"/>
      <c r="OE78" s="782"/>
      <c r="OF78" s="782"/>
      <c r="OG78" s="782"/>
      <c r="OH78" s="782"/>
      <c r="OI78" s="782"/>
      <c r="OJ78" s="782"/>
      <c r="OK78" s="782"/>
      <c r="OL78" s="782"/>
      <c r="OM78" s="782"/>
      <c r="ON78" s="782"/>
      <c r="OO78" s="782"/>
      <c r="OP78" s="782"/>
      <c r="OQ78" s="782"/>
      <c r="OR78" s="782"/>
      <c r="OS78" s="782"/>
      <c r="OT78" s="782"/>
      <c r="OU78" s="782"/>
      <c r="OV78" s="782"/>
      <c r="OW78" s="782"/>
      <c r="OX78" s="782"/>
      <c r="OY78" s="782"/>
      <c r="OZ78" s="782"/>
      <c r="PA78" s="782"/>
      <c r="PB78" s="782"/>
      <c r="PC78" s="782"/>
      <c r="PD78" s="782"/>
      <c r="PE78" s="782"/>
      <c r="PF78" s="782"/>
      <c r="PG78" s="782"/>
      <c r="PH78" s="782"/>
      <c r="PI78" s="782"/>
      <c r="PJ78" s="782"/>
      <c r="PK78" s="782"/>
      <c r="PL78" s="782"/>
      <c r="PM78" s="782"/>
      <c r="PN78" s="782"/>
      <c r="PO78" s="782"/>
      <c r="PP78" s="782"/>
      <c r="PQ78" s="782"/>
      <c r="PR78" s="782"/>
      <c r="PS78" s="782"/>
      <c r="PT78" s="782"/>
      <c r="PU78" s="782"/>
      <c r="PV78" s="782"/>
      <c r="PW78" s="782"/>
      <c r="PX78" s="782"/>
      <c r="PY78" s="782"/>
      <c r="PZ78" s="782"/>
      <c r="QA78" s="782"/>
      <c r="QB78" s="782"/>
      <c r="QC78" s="782"/>
      <c r="QD78" s="782"/>
      <c r="QE78" s="782"/>
      <c r="QF78" s="782"/>
      <c r="QG78" s="782"/>
      <c r="QH78" s="782"/>
      <c r="QI78" s="782"/>
      <c r="QJ78" s="782"/>
      <c r="QK78" s="782"/>
      <c r="QL78" s="782"/>
      <c r="QM78" s="782"/>
      <c r="QN78" s="782"/>
      <c r="QO78" s="782"/>
      <c r="QP78" s="782"/>
      <c r="QQ78" s="782"/>
      <c r="QR78" s="782"/>
      <c r="QS78" s="782"/>
      <c r="QT78" s="782"/>
      <c r="QU78" s="782"/>
      <c r="QV78" s="782"/>
      <c r="QW78" s="782"/>
      <c r="QX78" s="782"/>
      <c r="QY78" s="782"/>
      <c r="QZ78" s="782"/>
      <c r="RA78" s="782"/>
      <c r="RB78" s="782"/>
      <c r="RC78" s="782"/>
      <c r="RD78" s="782"/>
      <c r="RE78" s="782"/>
      <c r="RF78" s="782"/>
      <c r="RG78" s="782"/>
      <c r="RH78" s="782"/>
      <c r="RI78" s="782"/>
      <c r="RJ78" s="782"/>
      <c r="RK78" s="782"/>
      <c r="RL78" s="782"/>
      <c r="RM78" s="782"/>
      <c r="RN78" s="782"/>
      <c r="RO78" s="782"/>
      <c r="RP78" s="782"/>
      <c r="RQ78" s="782"/>
      <c r="RR78" s="782"/>
      <c r="RS78" s="782"/>
      <c r="RT78" s="782"/>
      <c r="RU78" s="782"/>
      <c r="RV78" s="782"/>
      <c r="RW78" s="782"/>
      <c r="RX78" s="782"/>
    </row>
    <row r="79" spans="1:492" s="143" customFormat="1">
      <c r="A79" s="782"/>
      <c r="B79" s="782"/>
      <c r="C79" s="782"/>
      <c r="D79" s="782"/>
      <c r="E79" s="782"/>
      <c r="F79" s="782"/>
      <c r="G79" s="782"/>
      <c r="H79" s="782"/>
      <c r="I79" s="782"/>
      <c r="J79" s="782"/>
      <c r="K79" s="782"/>
      <c r="L79" s="782"/>
      <c r="M79" s="782"/>
      <c r="N79" s="782"/>
      <c r="O79" s="782"/>
      <c r="P79" s="782"/>
      <c r="Q79" s="782"/>
      <c r="R79" s="782"/>
      <c r="S79" s="782"/>
      <c r="T79" s="782"/>
      <c r="U79" s="782"/>
      <c r="V79" s="782"/>
      <c r="W79" s="782"/>
      <c r="X79" s="782"/>
      <c r="Y79" s="782"/>
      <c r="Z79" s="782"/>
      <c r="AA79" s="782"/>
      <c r="AB79" s="782"/>
      <c r="AC79" s="782"/>
      <c r="AD79" s="782"/>
      <c r="AE79" s="782"/>
      <c r="AF79" s="782"/>
      <c r="AG79" s="782"/>
      <c r="AH79" s="782"/>
      <c r="AI79" s="782"/>
      <c r="AJ79" s="782"/>
      <c r="AK79" s="782"/>
      <c r="AL79" s="782"/>
      <c r="AM79" s="785"/>
      <c r="AN79" s="785"/>
      <c r="AO79" s="785"/>
      <c r="AP79" s="785"/>
      <c r="AQ79" s="785"/>
      <c r="AR79" s="785"/>
      <c r="AS79" s="785"/>
      <c r="AT79" s="785"/>
      <c r="AU79" s="785"/>
      <c r="AV79" s="785"/>
      <c r="AW79" s="785"/>
      <c r="AX79" s="785"/>
      <c r="AY79" s="785"/>
      <c r="AZ79" s="785"/>
      <c r="BA79" s="785"/>
      <c r="BB79" s="785"/>
      <c r="BC79" s="785"/>
      <c r="BD79" s="785"/>
      <c r="BE79" s="785"/>
      <c r="BF79" s="785"/>
      <c r="BG79" s="785"/>
      <c r="BH79" s="785"/>
      <c r="BI79" s="785"/>
      <c r="BJ79" s="785"/>
      <c r="BK79" s="785"/>
      <c r="BL79" s="785"/>
      <c r="BM79" s="785"/>
      <c r="BN79" s="785"/>
      <c r="BO79" s="785"/>
      <c r="BP79" s="785"/>
      <c r="BQ79" s="785"/>
      <c r="BR79" s="785"/>
      <c r="BS79" s="785"/>
      <c r="BT79" s="785"/>
      <c r="BU79" s="785"/>
      <c r="BV79" s="785"/>
      <c r="BW79" s="785"/>
      <c r="BX79" s="785"/>
      <c r="BY79" s="785"/>
      <c r="BZ79" s="785"/>
      <c r="CA79" s="782"/>
      <c r="CB79" s="782"/>
      <c r="CC79" s="782"/>
      <c r="CD79" s="782"/>
      <c r="CE79" s="782"/>
      <c r="CF79" s="782"/>
      <c r="CG79" s="782"/>
      <c r="CH79" s="782"/>
      <c r="CI79" s="782"/>
      <c r="CJ79" s="782"/>
      <c r="CK79" s="782"/>
      <c r="CL79" s="782"/>
      <c r="CM79" s="782"/>
      <c r="CN79" s="782"/>
      <c r="CO79" s="782"/>
      <c r="CP79" s="782"/>
      <c r="CQ79" s="782"/>
      <c r="CR79" s="782"/>
      <c r="CS79" s="782"/>
      <c r="CT79" s="782"/>
      <c r="CU79" s="782"/>
      <c r="CV79" s="782"/>
      <c r="CW79" s="782"/>
      <c r="CX79" s="782"/>
      <c r="CY79" s="782"/>
      <c r="CZ79" s="782"/>
      <c r="DA79" s="782"/>
      <c r="DB79" s="782"/>
      <c r="DC79" s="782"/>
      <c r="DD79" s="782"/>
      <c r="DE79" s="782"/>
      <c r="DF79" s="782"/>
      <c r="DG79" s="782"/>
      <c r="DH79" s="782"/>
      <c r="DI79" s="782"/>
      <c r="DJ79" s="782"/>
      <c r="DK79" s="782"/>
      <c r="DL79" s="782"/>
      <c r="DM79" s="782"/>
      <c r="DN79" s="782"/>
      <c r="DO79" s="782"/>
      <c r="DP79" s="782"/>
      <c r="DQ79" s="782"/>
      <c r="DR79" s="782"/>
      <c r="DS79" s="782"/>
      <c r="DT79" s="782"/>
      <c r="DU79" s="782"/>
      <c r="DV79" s="782"/>
      <c r="DW79" s="782"/>
      <c r="DX79" s="782"/>
      <c r="DY79" s="782"/>
      <c r="DZ79" s="782"/>
      <c r="EA79" s="782"/>
      <c r="EB79" s="782"/>
      <c r="EC79" s="782"/>
      <c r="ED79" s="782"/>
      <c r="EE79" s="782"/>
      <c r="EF79" s="782"/>
      <c r="EG79" s="782"/>
      <c r="EH79" s="782"/>
      <c r="EI79" s="782"/>
      <c r="EJ79" s="782"/>
      <c r="EK79" s="782"/>
      <c r="EL79" s="782"/>
      <c r="EM79" s="782"/>
      <c r="EN79" s="782"/>
      <c r="EO79" s="782"/>
      <c r="EP79" s="782"/>
      <c r="EQ79" s="782"/>
      <c r="ER79" s="782"/>
      <c r="ES79" s="782"/>
      <c r="ET79" s="782"/>
      <c r="EU79" s="782"/>
      <c r="EV79" s="782"/>
      <c r="EW79" s="782"/>
      <c r="EX79" s="782"/>
      <c r="EY79" s="782"/>
      <c r="EZ79" s="782"/>
      <c r="FA79" s="782"/>
      <c r="FB79" s="782"/>
      <c r="FC79" s="782"/>
      <c r="FD79" s="782"/>
      <c r="FE79" s="782"/>
      <c r="FF79" s="782"/>
      <c r="FG79" s="782"/>
      <c r="FH79" s="782"/>
      <c r="FI79" s="782"/>
      <c r="FJ79" s="782"/>
      <c r="FK79" s="782"/>
      <c r="FL79" s="782"/>
      <c r="FM79" s="782"/>
      <c r="FN79" s="782"/>
      <c r="FO79" s="782"/>
      <c r="FP79" s="782"/>
      <c r="FQ79" s="782"/>
      <c r="FR79" s="782"/>
      <c r="FS79" s="782"/>
      <c r="FT79" s="782"/>
      <c r="FU79" s="782"/>
      <c r="FV79" s="782"/>
      <c r="FW79" s="782"/>
      <c r="FX79" s="782"/>
      <c r="FY79" s="782"/>
      <c r="FZ79" s="782"/>
      <c r="GA79" s="782"/>
      <c r="GB79" s="782"/>
      <c r="GC79" s="782"/>
      <c r="GD79" s="782"/>
      <c r="GE79" s="782"/>
      <c r="GF79" s="782"/>
      <c r="GG79" s="782"/>
      <c r="GH79" s="782"/>
      <c r="GI79" s="782"/>
      <c r="GJ79" s="782"/>
      <c r="GK79" s="782"/>
      <c r="GL79" s="782"/>
      <c r="GM79" s="782"/>
      <c r="GN79" s="782"/>
      <c r="GO79" s="782"/>
      <c r="GP79" s="782"/>
      <c r="GQ79" s="782"/>
      <c r="GR79" s="782"/>
      <c r="GS79" s="782"/>
      <c r="GT79" s="782"/>
      <c r="GU79" s="782"/>
      <c r="GV79" s="782"/>
      <c r="GW79" s="782"/>
      <c r="GX79" s="782"/>
      <c r="GY79" s="782"/>
      <c r="GZ79" s="782"/>
      <c r="HA79" s="782"/>
      <c r="HB79" s="782"/>
      <c r="HC79" s="782"/>
      <c r="HD79" s="782"/>
      <c r="HE79" s="782"/>
      <c r="HF79" s="782"/>
      <c r="HG79" s="782"/>
      <c r="HH79" s="782"/>
      <c r="HI79" s="782"/>
      <c r="HJ79" s="782"/>
      <c r="HK79" s="782"/>
      <c r="HL79" s="782"/>
      <c r="HM79" s="782"/>
      <c r="HN79" s="782"/>
      <c r="HO79" s="782"/>
      <c r="HP79" s="782"/>
      <c r="HQ79" s="782"/>
      <c r="HR79" s="782"/>
      <c r="HS79" s="782"/>
      <c r="HT79" s="782"/>
      <c r="HU79" s="782"/>
      <c r="HV79" s="782"/>
      <c r="HW79" s="782"/>
      <c r="HX79" s="782"/>
      <c r="HY79" s="782"/>
      <c r="HZ79" s="782"/>
      <c r="IA79" s="782"/>
      <c r="IB79" s="782"/>
      <c r="IC79" s="782"/>
      <c r="ID79" s="782"/>
      <c r="IE79" s="782"/>
      <c r="IF79" s="782"/>
      <c r="IG79" s="782"/>
      <c r="IH79" s="782"/>
      <c r="II79" s="782"/>
      <c r="IJ79" s="782"/>
      <c r="IK79" s="782"/>
      <c r="IL79" s="782"/>
      <c r="IM79" s="782"/>
      <c r="IN79" s="782"/>
      <c r="IO79" s="782"/>
      <c r="IP79" s="782"/>
      <c r="IQ79" s="782"/>
      <c r="IR79" s="782"/>
      <c r="IS79" s="782"/>
      <c r="IT79" s="782"/>
      <c r="IU79" s="782"/>
      <c r="IV79" s="782"/>
      <c r="IW79" s="782"/>
      <c r="IX79" s="782"/>
      <c r="IY79" s="782"/>
      <c r="IZ79" s="782"/>
      <c r="JA79" s="782"/>
      <c r="JB79" s="782"/>
      <c r="JC79" s="782"/>
      <c r="JD79" s="782"/>
      <c r="JE79" s="782"/>
      <c r="JF79" s="782"/>
      <c r="JG79" s="782"/>
      <c r="JH79" s="782"/>
      <c r="JI79" s="782"/>
      <c r="JJ79" s="782"/>
      <c r="JK79" s="782"/>
      <c r="JL79" s="782"/>
      <c r="JM79" s="782"/>
      <c r="JN79" s="782"/>
      <c r="JO79" s="782"/>
      <c r="JP79" s="782"/>
      <c r="JQ79" s="782"/>
      <c r="JR79" s="782"/>
      <c r="JS79" s="782"/>
      <c r="JT79" s="782"/>
      <c r="JU79" s="782"/>
      <c r="JV79" s="782"/>
      <c r="JW79" s="782"/>
      <c r="JX79" s="782"/>
      <c r="JY79" s="782"/>
      <c r="JZ79" s="782"/>
      <c r="KA79" s="782"/>
      <c r="KB79" s="782"/>
      <c r="KC79" s="782"/>
      <c r="KD79" s="782"/>
      <c r="KE79" s="782"/>
      <c r="KF79" s="782"/>
      <c r="KG79" s="782"/>
      <c r="KH79" s="782"/>
      <c r="KI79" s="782"/>
      <c r="KJ79" s="782"/>
      <c r="KK79" s="782"/>
      <c r="KL79" s="782"/>
      <c r="KM79" s="782"/>
      <c r="KN79" s="782"/>
      <c r="KO79" s="782"/>
      <c r="KP79" s="782"/>
      <c r="KQ79" s="782"/>
      <c r="KR79" s="782"/>
      <c r="KS79" s="782"/>
      <c r="KT79" s="782"/>
      <c r="KU79" s="782"/>
      <c r="KV79" s="782"/>
      <c r="KW79" s="782"/>
      <c r="KX79" s="782"/>
      <c r="KY79" s="782"/>
      <c r="KZ79" s="782"/>
      <c r="LA79" s="782"/>
      <c r="LB79" s="782"/>
      <c r="LC79" s="782"/>
      <c r="LD79" s="782"/>
      <c r="LE79" s="782"/>
      <c r="LF79" s="782"/>
      <c r="LG79" s="782"/>
      <c r="LH79" s="782"/>
      <c r="LI79" s="782"/>
      <c r="LJ79" s="782"/>
      <c r="LK79" s="782"/>
      <c r="LL79" s="782"/>
      <c r="LM79" s="782"/>
      <c r="LN79" s="782"/>
      <c r="LO79" s="782"/>
      <c r="LP79" s="782"/>
      <c r="LQ79" s="782"/>
      <c r="LR79" s="782"/>
      <c r="LS79" s="782"/>
      <c r="LT79" s="782"/>
      <c r="LU79" s="782"/>
      <c r="LV79" s="782"/>
      <c r="LW79" s="782"/>
      <c r="LX79" s="782"/>
      <c r="LY79" s="782"/>
      <c r="LZ79" s="782"/>
      <c r="MA79" s="782"/>
      <c r="MB79" s="782"/>
      <c r="MC79" s="782"/>
      <c r="MD79" s="782"/>
      <c r="ME79" s="782"/>
      <c r="MF79" s="782"/>
      <c r="MG79" s="782"/>
      <c r="MH79" s="782"/>
      <c r="MI79" s="782"/>
      <c r="MJ79" s="782"/>
      <c r="MK79" s="782"/>
      <c r="ML79" s="782"/>
      <c r="MM79" s="782"/>
      <c r="MN79" s="782"/>
      <c r="MO79" s="782"/>
      <c r="MP79" s="782"/>
      <c r="MQ79" s="782"/>
      <c r="MR79" s="782"/>
      <c r="MS79" s="782"/>
      <c r="MT79" s="782"/>
      <c r="MU79" s="782"/>
      <c r="MV79" s="782"/>
      <c r="MW79" s="782"/>
      <c r="MX79" s="782"/>
      <c r="MY79" s="782"/>
      <c r="MZ79" s="782"/>
      <c r="NA79" s="782"/>
      <c r="NB79" s="782"/>
      <c r="NC79" s="782"/>
      <c r="ND79" s="782"/>
      <c r="NE79" s="782"/>
      <c r="NF79" s="782"/>
      <c r="NG79" s="782"/>
      <c r="NH79" s="782"/>
      <c r="NI79" s="782"/>
      <c r="NJ79" s="782"/>
      <c r="NK79" s="782"/>
      <c r="NL79" s="782"/>
      <c r="NM79" s="782"/>
      <c r="NN79" s="782"/>
      <c r="NO79" s="782"/>
      <c r="NP79" s="782"/>
      <c r="NQ79" s="782"/>
      <c r="NR79" s="782"/>
      <c r="NS79" s="782"/>
      <c r="NT79" s="782"/>
      <c r="NU79" s="782"/>
      <c r="NV79" s="782"/>
      <c r="NW79" s="782"/>
      <c r="NX79" s="782"/>
      <c r="NY79" s="782"/>
      <c r="NZ79" s="782"/>
      <c r="OA79" s="782"/>
      <c r="OB79" s="782"/>
      <c r="OC79" s="782"/>
      <c r="OD79" s="782"/>
      <c r="OE79" s="782"/>
      <c r="OF79" s="782"/>
      <c r="OG79" s="782"/>
      <c r="OH79" s="782"/>
      <c r="OI79" s="782"/>
      <c r="OJ79" s="782"/>
      <c r="OK79" s="782"/>
      <c r="OL79" s="782"/>
      <c r="OM79" s="782"/>
      <c r="ON79" s="782"/>
      <c r="OO79" s="782"/>
      <c r="OP79" s="782"/>
      <c r="OQ79" s="782"/>
      <c r="OR79" s="782"/>
      <c r="OS79" s="782"/>
      <c r="OT79" s="782"/>
      <c r="OU79" s="782"/>
      <c r="OV79" s="782"/>
      <c r="OW79" s="782"/>
      <c r="OX79" s="782"/>
      <c r="OY79" s="782"/>
      <c r="OZ79" s="782"/>
      <c r="PA79" s="782"/>
      <c r="PB79" s="782"/>
      <c r="PC79" s="782"/>
      <c r="PD79" s="782"/>
      <c r="PE79" s="782"/>
      <c r="PF79" s="782"/>
      <c r="PG79" s="782"/>
      <c r="PH79" s="782"/>
      <c r="PI79" s="782"/>
      <c r="PJ79" s="782"/>
      <c r="PK79" s="782"/>
      <c r="PL79" s="782"/>
      <c r="PM79" s="782"/>
      <c r="PN79" s="782"/>
      <c r="PO79" s="782"/>
      <c r="PP79" s="782"/>
      <c r="PQ79" s="782"/>
      <c r="PR79" s="782"/>
      <c r="PS79" s="782"/>
      <c r="PT79" s="782"/>
      <c r="PU79" s="782"/>
      <c r="PV79" s="782"/>
      <c r="PW79" s="782"/>
      <c r="PX79" s="782"/>
      <c r="PY79" s="782"/>
      <c r="PZ79" s="782"/>
      <c r="QA79" s="782"/>
      <c r="QB79" s="782"/>
      <c r="QC79" s="782"/>
      <c r="QD79" s="782"/>
      <c r="QE79" s="782"/>
      <c r="QF79" s="782"/>
      <c r="QG79" s="782"/>
      <c r="QH79" s="782"/>
      <c r="QI79" s="782"/>
      <c r="QJ79" s="782"/>
      <c r="QK79" s="782"/>
      <c r="QL79" s="782"/>
      <c r="QM79" s="782"/>
      <c r="QN79" s="782"/>
      <c r="QO79" s="782"/>
      <c r="QP79" s="782"/>
      <c r="QQ79" s="782"/>
      <c r="QR79" s="782"/>
      <c r="QS79" s="782"/>
      <c r="QT79" s="782"/>
      <c r="QU79" s="782"/>
      <c r="QV79" s="782"/>
      <c r="QW79" s="782"/>
      <c r="QX79" s="782"/>
      <c r="QY79" s="782"/>
      <c r="QZ79" s="782"/>
      <c r="RA79" s="782"/>
      <c r="RB79" s="782"/>
      <c r="RC79" s="782"/>
      <c r="RD79" s="782"/>
      <c r="RE79" s="782"/>
      <c r="RF79" s="782"/>
      <c r="RG79" s="782"/>
      <c r="RH79" s="782"/>
      <c r="RI79" s="782"/>
      <c r="RJ79" s="782"/>
      <c r="RK79" s="782"/>
      <c r="RL79" s="782"/>
      <c r="RM79" s="782"/>
      <c r="RN79" s="782"/>
      <c r="RO79" s="782"/>
      <c r="RP79" s="782"/>
      <c r="RQ79" s="782"/>
      <c r="RR79" s="782"/>
      <c r="RS79" s="782"/>
      <c r="RT79" s="782"/>
      <c r="RU79" s="782"/>
      <c r="RV79" s="782"/>
      <c r="RW79" s="782"/>
      <c r="RX79" s="782"/>
    </row>
    <row r="80" spans="1:492" s="143" customFormat="1">
      <c r="A80" s="782"/>
      <c r="B80" s="782"/>
      <c r="C80" s="782"/>
      <c r="D80" s="782"/>
      <c r="E80" s="782"/>
      <c r="F80" s="782"/>
      <c r="G80" s="782"/>
      <c r="H80" s="782"/>
      <c r="I80" s="782"/>
      <c r="J80" s="782"/>
      <c r="K80" s="782"/>
      <c r="L80" s="782"/>
      <c r="M80" s="782"/>
      <c r="N80" s="782"/>
      <c r="O80" s="782"/>
      <c r="P80" s="782"/>
      <c r="Q80" s="782"/>
      <c r="R80" s="782"/>
      <c r="S80" s="782"/>
      <c r="T80" s="782"/>
      <c r="U80" s="782"/>
      <c r="V80" s="782"/>
      <c r="W80" s="782"/>
      <c r="X80" s="782"/>
      <c r="Y80" s="782"/>
      <c r="Z80" s="782"/>
      <c r="AA80" s="782"/>
      <c r="AB80" s="782"/>
      <c r="AC80" s="782"/>
      <c r="AD80" s="782"/>
      <c r="AE80" s="782"/>
      <c r="AF80" s="782"/>
      <c r="AG80" s="782"/>
      <c r="AH80" s="782"/>
      <c r="AI80" s="782"/>
      <c r="AJ80" s="782"/>
      <c r="AK80" s="782"/>
      <c r="AL80" s="782"/>
      <c r="AM80" s="785"/>
      <c r="AN80" s="785"/>
      <c r="AO80" s="785"/>
      <c r="AP80" s="785"/>
      <c r="AQ80" s="785"/>
      <c r="AR80" s="785"/>
      <c r="AS80" s="785"/>
      <c r="AT80" s="785"/>
      <c r="AU80" s="785"/>
      <c r="AV80" s="785"/>
      <c r="AW80" s="785"/>
      <c r="AX80" s="785"/>
      <c r="AY80" s="785"/>
      <c r="AZ80" s="785"/>
      <c r="BA80" s="785"/>
      <c r="BB80" s="785"/>
      <c r="BC80" s="785"/>
      <c r="BD80" s="785"/>
      <c r="BE80" s="785"/>
      <c r="BF80" s="785"/>
      <c r="BG80" s="785"/>
      <c r="BH80" s="785"/>
      <c r="BI80" s="785"/>
      <c r="BJ80" s="785"/>
      <c r="BK80" s="785"/>
      <c r="BL80" s="785"/>
      <c r="BM80" s="785"/>
      <c r="BN80" s="785"/>
      <c r="BO80" s="785"/>
      <c r="BP80" s="785"/>
      <c r="BQ80" s="785"/>
      <c r="BR80" s="785"/>
      <c r="BS80" s="785"/>
      <c r="BT80" s="785"/>
      <c r="BU80" s="785"/>
      <c r="BV80" s="785"/>
      <c r="BW80" s="785"/>
      <c r="BX80" s="785"/>
      <c r="BY80" s="785"/>
      <c r="BZ80" s="785"/>
      <c r="CA80" s="782"/>
      <c r="CB80" s="782"/>
      <c r="CC80" s="782"/>
      <c r="CD80" s="782"/>
      <c r="CE80" s="782"/>
      <c r="CF80" s="782"/>
      <c r="CG80" s="782"/>
      <c r="CH80" s="782"/>
      <c r="CI80" s="782"/>
      <c r="CJ80" s="782"/>
      <c r="CK80" s="782"/>
      <c r="CL80" s="782"/>
      <c r="CM80" s="782"/>
      <c r="CN80" s="782"/>
      <c r="CO80" s="782"/>
      <c r="CP80" s="782"/>
      <c r="CQ80" s="782"/>
      <c r="CR80" s="782"/>
      <c r="CS80" s="782"/>
      <c r="CT80" s="782"/>
      <c r="CU80" s="782"/>
      <c r="CV80" s="782"/>
      <c r="CW80" s="782"/>
      <c r="CX80" s="782"/>
      <c r="CY80" s="782"/>
      <c r="CZ80" s="782"/>
      <c r="DA80" s="782"/>
      <c r="DB80" s="782"/>
      <c r="DC80" s="782"/>
      <c r="DD80" s="782"/>
      <c r="DE80" s="782"/>
      <c r="DF80" s="782"/>
      <c r="DG80" s="782"/>
      <c r="DH80" s="782"/>
      <c r="DI80" s="782"/>
      <c r="DJ80" s="782"/>
      <c r="DK80" s="782"/>
      <c r="DL80" s="782"/>
      <c r="DM80" s="782"/>
      <c r="DN80" s="782"/>
      <c r="DO80" s="782"/>
      <c r="DP80" s="782"/>
      <c r="DQ80" s="782"/>
      <c r="DR80" s="782"/>
      <c r="DS80" s="782"/>
      <c r="DT80" s="782"/>
      <c r="DU80" s="782"/>
      <c r="DV80" s="782"/>
      <c r="DW80" s="782"/>
      <c r="DX80" s="782"/>
      <c r="DY80" s="782"/>
      <c r="DZ80" s="782"/>
      <c r="EA80" s="782"/>
      <c r="EB80" s="782"/>
      <c r="EC80" s="782"/>
      <c r="ED80" s="782"/>
      <c r="EE80" s="782"/>
      <c r="EF80" s="782"/>
      <c r="EG80" s="782"/>
      <c r="EH80" s="782"/>
      <c r="EI80" s="782"/>
      <c r="EJ80" s="782"/>
      <c r="EK80" s="782"/>
      <c r="EL80" s="782"/>
      <c r="EM80" s="782"/>
      <c r="EN80" s="782"/>
      <c r="EO80" s="782"/>
      <c r="EP80" s="782"/>
      <c r="EQ80" s="782"/>
      <c r="ER80" s="782"/>
      <c r="ES80" s="782"/>
      <c r="ET80" s="782"/>
      <c r="EU80" s="782"/>
      <c r="EV80" s="782"/>
      <c r="EW80" s="782"/>
      <c r="EX80" s="782"/>
      <c r="EY80" s="782"/>
      <c r="EZ80" s="782"/>
      <c r="FA80" s="782"/>
      <c r="FB80" s="782"/>
      <c r="FC80" s="782"/>
      <c r="FD80" s="782"/>
      <c r="FE80" s="782"/>
      <c r="FF80" s="782"/>
      <c r="FG80" s="782"/>
      <c r="FH80" s="782"/>
      <c r="FI80" s="782"/>
      <c r="FJ80" s="782"/>
      <c r="FK80" s="782"/>
      <c r="FL80" s="782"/>
      <c r="FM80" s="782"/>
      <c r="FN80" s="782"/>
      <c r="FO80" s="782"/>
      <c r="FP80" s="782"/>
      <c r="FQ80" s="782"/>
      <c r="FR80" s="782"/>
      <c r="FS80" s="782"/>
      <c r="FT80" s="782"/>
      <c r="FU80" s="782"/>
      <c r="FV80" s="782"/>
      <c r="FW80" s="782"/>
      <c r="FX80" s="782"/>
      <c r="FY80" s="782"/>
      <c r="FZ80" s="782"/>
      <c r="GA80" s="782"/>
      <c r="GB80" s="782"/>
      <c r="GC80" s="782"/>
      <c r="GD80" s="782"/>
      <c r="GE80" s="782"/>
      <c r="GF80" s="782"/>
      <c r="GG80" s="782"/>
      <c r="GH80" s="782"/>
      <c r="GI80" s="782"/>
      <c r="GJ80" s="782"/>
      <c r="GK80" s="782"/>
      <c r="GL80" s="782"/>
      <c r="GM80" s="782"/>
      <c r="GN80" s="782"/>
      <c r="GO80" s="782"/>
      <c r="GP80" s="782"/>
      <c r="GQ80" s="782"/>
      <c r="GR80" s="782"/>
      <c r="GS80" s="782"/>
      <c r="GT80" s="782"/>
      <c r="GU80" s="782"/>
      <c r="GV80" s="782"/>
      <c r="GW80" s="782"/>
      <c r="GX80" s="782"/>
      <c r="GY80" s="782"/>
      <c r="GZ80" s="782"/>
      <c r="HA80" s="782"/>
      <c r="HB80" s="782"/>
      <c r="HC80" s="782"/>
      <c r="HD80" s="782"/>
      <c r="HE80" s="782"/>
      <c r="HF80" s="782"/>
      <c r="HG80" s="782"/>
      <c r="HH80" s="782"/>
      <c r="HI80" s="782"/>
      <c r="HJ80" s="782"/>
      <c r="HK80" s="782"/>
      <c r="HL80" s="782"/>
      <c r="HM80" s="782"/>
      <c r="HN80" s="782"/>
      <c r="HO80" s="782"/>
      <c r="HP80" s="782"/>
      <c r="HQ80" s="782"/>
      <c r="HR80" s="782"/>
      <c r="HS80" s="782"/>
      <c r="HT80" s="782"/>
      <c r="HU80" s="782"/>
      <c r="HV80" s="782"/>
      <c r="HW80" s="782"/>
      <c r="HX80" s="782"/>
      <c r="HY80" s="782"/>
      <c r="HZ80" s="782"/>
      <c r="IA80" s="782"/>
      <c r="IB80" s="782"/>
      <c r="IC80" s="782"/>
      <c r="ID80" s="782"/>
      <c r="IE80" s="782"/>
      <c r="IF80" s="782"/>
      <c r="IG80" s="782"/>
      <c r="IH80" s="782"/>
      <c r="II80" s="782"/>
      <c r="IJ80" s="782"/>
      <c r="IK80" s="782"/>
      <c r="IL80" s="782"/>
      <c r="IM80" s="782"/>
      <c r="IN80" s="782"/>
      <c r="IO80" s="782"/>
      <c r="IP80" s="782"/>
      <c r="IQ80" s="782"/>
      <c r="IR80" s="782"/>
      <c r="IS80" s="782"/>
      <c r="IT80" s="782"/>
      <c r="IU80" s="782"/>
      <c r="IV80" s="782"/>
      <c r="IW80" s="782"/>
      <c r="IX80" s="782"/>
      <c r="IY80" s="782"/>
      <c r="IZ80" s="782"/>
      <c r="JA80" s="782"/>
      <c r="JB80" s="782"/>
      <c r="JC80" s="782"/>
      <c r="JD80" s="782"/>
      <c r="JE80" s="782"/>
      <c r="JF80" s="782"/>
      <c r="JG80" s="782"/>
      <c r="JH80" s="782"/>
      <c r="JI80" s="782"/>
      <c r="JJ80" s="782"/>
      <c r="JK80" s="782"/>
      <c r="JL80" s="782"/>
      <c r="JM80" s="782"/>
      <c r="JN80" s="782"/>
      <c r="JO80" s="782"/>
      <c r="JP80" s="782"/>
      <c r="JQ80" s="782"/>
      <c r="JR80" s="782"/>
      <c r="JS80" s="782"/>
      <c r="JT80" s="782"/>
      <c r="JU80" s="782"/>
      <c r="JV80" s="782"/>
      <c r="JW80" s="782"/>
      <c r="JX80" s="782"/>
      <c r="JY80" s="782"/>
      <c r="JZ80" s="782"/>
      <c r="KA80" s="782"/>
      <c r="KB80" s="782"/>
      <c r="KC80" s="782"/>
      <c r="KD80" s="782"/>
      <c r="KE80" s="782"/>
      <c r="KF80" s="782"/>
      <c r="KG80" s="782"/>
      <c r="KH80" s="782"/>
      <c r="KI80" s="782"/>
      <c r="KJ80" s="782"/>
      <c r="KK80" s="782"/>
      <c r="KL80" s="782"/>
      <c r="KM80" s="782"/>
      <c r="KN80" s="782"/>
      <c r="KO80" s="782"/>
      <c r="KP80" s="782"/>
      <c r="KQ80" s="782"/>
      <c r="KR80" s="782"/>
      <c r="KS80" s="782"/>
      <c r="KT80" s="782"/>
      <c r="KU80" s="782"/>
      <c r="KV80" s="782"/>
      <c r="KW80" s="782"/>
      <c r="KX80" s="782"/>
      <c r="KY80" s="782"/>
      <c r="KZ80" s="782"/>
      <c r="LA80" s="782"/>
      <c r="LB80" s="782"/>
      <c r="LC80" s="782"/>
      <c r="LD80" s="782"/>
      <c r="LE80" s="782"/>
      <c r="LF80" s="782"/>
      <c r="LG80" s="782"/>
      <c r="LH80" s="782"/>
      <c r="LI80" s="782"/>
      <c r="LJ80" s="782"/>
      <c r="LK80" s="782"/>
      <c r="LL80" s="782"/>
      <c r="LM80" s="782"/>
      <c r="LN80" s="782"/>
      <c r="LO80" s="782"/>
      <c r="LP80" s="782"/>
      <c r="LQ80" s="782"/>
      <c r="LR80" s="782"/>
      <c r="LS80" s="782"/>
      <c r="LT80" s="782"/>
      <c r="LU80" s="782"/>
      <c r="LV80" s="782"/>
      <c r="LW80" s="782"/>
      <c r="LX80" s="782"/>
      <c r="LY80" s="782"/>
      <c r="LZ80" s="782"/>
      <c r="MA80" s="782"/>
      <c r="MB80" s="782"/>
      <c r="MC80" s="782"/>
      <c r="MD80" s="782"/>
      <c r="ME80" s="782"/>
      <c r="MF80" s="782"/>
      <c r="MG80" s="782"/>
      <c r="MH80" s="782"/>
      <c r="MI80" s="782"/>
      <c r="MJ80" s="782"/>
      <c r="MK80" s="782"/>
      <c r="ML80" s="782"/>
      <c r="MM80" s="782"/>
      <c r="MN80" s="782"/>
      <c r="MO80" s="782"/>
      <c r="MP80" s="782"/>
      <c r="MQ80" s="782"/>
      <c r="MR80" s="782"/>
      <c r="MS80" s="782"/>
      <c r="MT80" s="782"/>
      <c r="MU80" s="782"/>
      <c r="MV80" s="782"/>
      <c r="MW80" s="782"/>
      <c r="MX80" s="782"/>
      <c r="MY80" s="782"/>
      <c r="MZ80" s="782"/>
      <c r="NA80" s="782"/>
      <c r="NB80" s="782"/>
      <c r="NC80" s="782"/>
      <c r="ND80" s="782"/>
      <c r="NE80" s="782"/>
      <c r="NF80" s="782"/>
      <c r="NG80" s="782"/>
      <c r="NH80" s="782"/>
      <c r="NI80" s="782"/>
      <c r="NJ80" s="782"/>
      <c r="NK80" s="782"/>
      <c r="NL80" s="782"/>
      <c r="NM80" s="782"/>
      <c r="NN80" s="782"/>
      <c r="NO80" s="782"/>
      <c r="NP80" s="782"/>
      <c r="NQ80" s="782"/>
      <c r="NR80" s="782"/>
      <c r="NS80" s="782"/>
      <c r="NT80" s="782"/>
      <c r="NU80" s="782"/>
      <c r="NV80" s="782"/>
      <c r="NW80" s="782"/>
      <c r="NX80" s="782"/>
      <c r="NY80" s="782"/>
      <c r="NZ80" s="782"/>
      <c r="OA80" s="782"/>
      <c r="OB80" s="782"/>
      <c r="OC80" s="782"/>
      <c r="OD80" s="782"/>
      <c r="OE80" s="782"/>
      <c r="OF80" s="782"/>
      <c r="OG80" s="782"/>
      <c r="OH80" s="782"/>
      <c r="OI80" s="782"/>
      <c r="OJ80" s="782"/>
      <c r="OK80" s="782"/>
      <c r="OL80" s="782"/>
      <c r="OM80" s="782"/>
      <c r="ON80" s="782"/>
      <c r="OO80" s="782"/>
      <c r="OP80" s="782"/>
      <c r="OQ80" s="782"/>
      <c r="OR80" s="782"/>
      <c r="OS80" s="782"/>
      <c r="OT80" s="782"/>
      <c r="OU80" s="782"/>
      <c r="OV80" s="782"/>
      <c r="OW80" s="782"/>
      <c r="OX80" s="782"/>
      <c r="OY80" s="782"/>
      <c r="OZ80" s="782"/>
      <c r="PA80" s="782"/>
      <c r="PB80" s="782"/>
      <c r="PC80" s="782"/>
      <c r="PD80" s="782"/>
      <c r="PE80" s="782"/>
      <c r="PF80" s="782"/>
      <c r="PG80" s="782"/>
      <c r="PH80" s="782"/>
      <c r="PI80" s="782"/>
      <c r="PJ80" s="782"/>
      <c r="PK80" s="782"/>
      <c r="PL80" s="782"/>
      <c r="PM80" s="782"/>
      <c r="PN80" s="782"/>
      <c r="PO80" s="782"/>
      <c r="PP80" s="782"/>
      <c r="PQ80" s="782"/>
      <c r="PR80" s="782"/>
      <c r="PS80" s="782"/>
      <c r="PT80" s="782"/>
      <c r="PU80" s="782"/>
      <c r="PV80" s="782"/>
      <c r="PW80" s="782"/>
      <c r="PX80" s="782"/>
      <c r="PY80" s="782"/>
      <c r="PZ80" s="782"/>
      <c r="QA80" s="782"/>
      <c r="QB80" s="782"/>
      <c r="QC80" s="782"/>
      <c r="QD80" s="782"/>
      <c r="QE80" s="782"/>
      <c r="QF80" s="782"/>
      <c r="QG80" s="782"/>
      <c r="QH80" s="782"/>
      <c r="QI80" s="782"/>
      <c r="QJ80" s="782"/>
      <c r="QK80" s="782"/>
      <c r="QL80" s="782"/>
      <c r="QM80" s="782"/>
      <c r="QN80" s="782"/>
      <c r="QO80" s="782"/>
      <c r="QP80" s="782"/>
      <c r="QQ80" s="782"/>
      <c r="QR80" s="782"/>
      <c r="QS80" s="782"/>
      <c r="QT80" s="782"/>
      <c r="QU80" s="782"/>
      <c r="QV80" s="782"/>
      <c r="QW80" s="782"/>
      <c r="QX80" s="782"/>
      <c r="QY80" s="782"/>
      <c r="QZ80" s="782"/>
      <c r="RA80" s="782"/>
      <c r="RB80" s="782"/>
      <c r="RC80" s="782"/>
      <c r="RD80" s="782"/>
      <c r="RE80" s="782"/>
      <c r="RF80" s="782"/>
      <c r="RG80" s="782"/>
      <c r="RH80" s="782"/>
      <c r="RI80" s="782"/>
      <c r="RJ80" s="782"/>
      <c r="RK80" s="782"/>
      <c r="RL80" s="782"/>
      <c r="RM80" s="782"/>
      <c r="RN80" s="782"/>
      <c r="RO80" s="782"/>
      <c r="RP80" s="782"/>
      <c r="RQ80" s="782"/>
      <c r="RR80" s="782"/>
      <c r="RS80" s="782"/>
      <c r="RT80" s="782"/>
      <c r="RU80" s="782"/>
      <c r="RV80" s="782"/>
      <c r="RW80" s="782"/>
      <c r="RX80" s="782"/>
    </row>
    <row r="81" spans="39:78" s="143" customFormat="1">
      <c r="AM81" s="785"/>
      <c r="AN81" s="785"/>
      <c r="AO81" s="785"/>
      <c r="AP81" s="785"/>
      <c r="AQ81" s="785"/>
      <c r="AR81" s="785"/>
      <c r="AS81" s="785"/>
      <c r="AT81" s="785"/>
      <c r="AU81" s="785"/>
      <c r="AV81" s="785"/>
      <c r="AW81" s="785"/>
      <c r="AX81" s="785"/>
      <c r="AY81" s="785"/>
      <c r="AZ81" s="785"/>
      <c r="BA81" s="785"/>
      <c r="BB81" s="785"/>
      <c r="BC81" s="785"/>
      <c r="BD81" s="785"/>
      <c r="BE81" s="785"/>
      <c r="BF81" s="785"/>
      <c r="BG81" s="785"/>
      <c r="BH81" s="785"/>
      <c r="BI81" s="785"/>
      <c r="BJ81" s="785"/>
      <c r="BK81" s="785"/>
      <c r="BL81" s="785"/>
      <c r="BM81" s="785"/>
      <c r="BN81" s="785"/>
      <c r="BO81" s="785"/>
      <c r="BP81" s="785"/>
      <c r="BQ81" s="785"/>
      <c r="BR81" s="785"/>
      <c r="BS81" s="785"/>
      <c r="BT81" s="785"/>
      <c r="BU81" s="785"/>
      <c r="BV81" s="785"/>
      <c r="BW81" s="785"/>
      <c r="BX81" s="785"/>
      <c r="BY81" s="785"/>
      <c r="BZ81" s="785"/>
    </row>
    <row r="82" spans="39:78" s="143" customFormat="1">
      <c r="AM82" s="785"/>
      <c r="AN82" s="785"/>
      <c r="AO82" s="785"/>
      <c r="AP82" s="785"/>
      <c r="AQ82" s="785"/>
      <c r="AR82" s="785"/>
      <c r="AS82" s="785"/>
      <c r="AT82" s="785"/>
      <c r="AU82" s="785"/>
      <c r="AV82" s="785"/>
      <c r="AW82" s="785"/>
      <c r="AX82" s="785"/>
      <c r="AY82" s="785"/>
      <c r="AZ82" s="785"/>
      <c r="BA82" s="785"/>
      <c r="BB82" s="785"/>
      <c r="BC82" s="785"/>
      <c r="BD82" s="785"/>
      <c r="BE82" s="785"/>
      <c r="BF82" s="785"/>
      <c r="BG82" s="785"/>
      <c r="BH82" s="785"/>
      <c r="BI82" s="785"/>
      <c r="BJ82" s="785"/>
      <c r="BK82" s="785"/>
      <c r="BL82" s="785"/>
      <c r="BM82" s="785"/>
      <c r="BN82" s="785"/>
      <c r="BO82" s="785"/>
      <c r="BP82" s="785"/>
      <c r="BQ82" s="785"/>
      <c r="BR82" s="785"/>
      <c r="BS82" s="785"/>
      <c r="BT82" s="785"/>
      <c r="BU82" s="785"/>
      <c r="BV82" s="785"/>
      <c r="BW82" s="785"/>
      <c r="BX82" s="785"/>
      <c r="BY82" s="785"/>
      <c r="BZ82" s="785"/>
    </row>
    <row r="83" spans="39:78" s="143" customFormat="1">
      <c r="AM83" s="785"/>
      <c r="AN83" s="785"/>
      <c r="AO83" s="785"/>
      <c r="AP83" s="785"/>
      <c r="AQ83" s="785"/>
      <c r="AR83" s="785"/>
      <c r="AS83" s="785"/>
      <c r="AT83" s="785"/>
      <c r="AU83" s="785"/>
      <c r="AV83" s="785"/>
      <c r="AW83" s="785"/>
      <c r="AX83" s="785"/>
      <c r="AY83" s="785"/>
      <c r="AZ83" s="785"/>
      <c r="BA83" s="785"/>
      <c r="BB83" s="785"/>
      <c r="BC83" s="785"/>
      <c r="BD83" s="785"/>
      <c r="BE83" s="785"/>
      <c r="BF83" s="785"/>
      <c r="BG83" s="785"/>
      <c r="BH83" s="785"/>
      <c r="BI83" s="785"/>
      <c r="BJ83" s="785"/>
      <c r="BK83" s="785"/>
      <c r="BL83" s="785"/>
      <c r="BM83" s="785"/>
      <c r="BN83" s="785"/>
      <c r="BO83" s="785"/>
      <c r="BP83" s="785"/>
      <c r="BQ83" s="785"/>
      <c r="BR83" s="785"/>
      <c r="BS83" s="785"/>
      <c r="BT83" s="785"/>
      <c r="BU83" s="785"/>
      <c r="BV83" s="785"/>
      <c r="BW83" s="785"/>
      <c r="BX83" s="785"/>
      <c r="BY83" s="785"/>
      <c r="BZ83" s="785"/>
    </row>
    <row r="84" spans="39:78" s="143" customFormat="1">
      <c r="AM84" s="785"/>
      <c r="AN84" s="785"/>
      <c r="AO84" s="785"/>
      <c r="AP84" s="785"/>
      <c r="AQ84" s="785"/>
      <c r="AR84" s="785"/>
      <c r="AS84" s="785"/>
      <c r="AT84" s="785"/>
      <c r="AU84" s="785"/>
      <c r="AV84" s="785"/>
      <c r="AW84" s="785"/>
      <c r="AX84" s="785"/>
      <c r="AY84" s="785"/>
      <c r="AZ84" s="785"/>
      <c r="BA84" s="785"/>
      <c r="BB84" s="785"/>
      <c r="BC84" s="785"/>
      <c r="BD84" s="785"/>
      <c r="BE84" s="785"/>
      <c r="BF84" s="785"/>
      <c r="BG84" s="785"/>
      <c r="BH84" s="785"/>
      <c r="BI84" s="785"/>
      <c r="BJ84" s="785"/>
      <c r="BK84" s="785"/>
      <c r="BL84" s="785"/>
      <c r="BM84" s="785"/>
      <c r="BN84" s="785"/>
      <c r="BO84" s="785"/>
      <c r="BP84" s="785"/>
      <c r="BQ84" s="785"/>
      <c r="BR84" s="785"/>
      <c r="BS84" s="785"/>
      <c r="BT84" s="785"/>
      <c r="BU84" s="785"/>
      <c r="BV84" s="785"/>
      <c r="BW84" s="785"/>
      <c r="BX84" s="785"/>
      <c r="BY84" s="785"/>
      <c r="BZ84" s="785"/>
    </row>
    <row r="85" spans="39:78" s="143" customFormat="1">
      <c r="AM85" s="785"/>
      <c r="AN85" s="785"/>
      <c r="AO85" s="785"/>
      <c r="AP85" s="785"/>
      <c r="AQ85" s="785"/>
      <c r="AR85" s="785"/>
      <c r="AS85" s="785"/>
      <c r="AT85" s="785"/>
      <c r="AU85" s="785"/>
      <c r="AV85" s="785"/>
      <c r="AW85" s="785"/>
      <c r="AX85" s="785"/>
      <c r="AY85" s="785"/>
      <c r="AZ85" s="785"/>
      <c r="BA85" s="785"/>
      <c r="BB85" s="785"/>
      <c r="BC85" s="785"/>
      <c r="BD85" s="785"/>
      <c r="BE85" s="785"/>
      <c r="BF85" s="785"/>
      <c r="BG85" s="785"/>
      <c r="BH85" s="785"/>
      <c r="BI85" s="785"/>
      <c r="BJ85" s="785"/>
      <c r="BK85" s="785"/>
      <c r="BL85" s="785"/>
      <c r="BM85" s="785"/>
      <c r="BN85" s="785"/>
      <c r="BO85" s="785"/>
      <c r="BP85" s="785"/>
      <c r="BQ85" s="785"/>
      <c r="BR85" s="785"/>
      <c r="BS85" s="785"/>
      <c r="BT85" s="785"/>
      <c r="BU85" s="785"/>
      <c r="BV85" s="785"/>
      <c r="BW85" s="785"/>
      <c r="BX85" s="785"/>
      <c r="BY85" s="785"/>
      <c r="BZ85" s="785"/>
    </row>
    <row r="86" spans="39:78" s="143" customFormat="1">
      <c r="AM86" s="785"/>
      <c r="AN86" s="785"/>
      <c r="AO86" s="785"/>
      <c r="AP86" s="785"/>
      <c r="AQ86" s="785"/>
      <c r="AR86" s="785"/>
      <c r="AS86" s="785"/>
      <c r="AT86" s="785"/>
      <c r="AU86" s="785"/>
      <c r="AV86" s="785"/>
      <c r="AW86" s="785"/>
      <c r="AX86" s="785"/>
      <c r="AY86" s="785"/>
      <c r="AZ86" s="785"/>
      <c r="BA86" s="785"/>
      <c r="BB86" s="785"/>
      <c r="BC86" s="785"/>
      <c r="BD86" s="785"/>
      <c r="BE86" s="785"/>
      <c r="BF86" s="785"/>
      <c r="BG86" s="785"/>
      <c r="BH86" s="785"/>
      <c r="BI86" s="785"/>
      <c r="BJ86" s="785"/>
      <c r="BK86" s="785"/>
      <c r="BL86" s="785"/>
      <c r="BM86" s="785"/>
      <c r="BN86" s="785"/>
      <c r="BO86" s="785"/>
      <c r="BP86" s="785"/>
      <c r="BQ86" s="785"/>
      <c r="BR86" s="785"/>
      <c r="BS86" s="785"/>
      <c r="BT86" s="785"/>
      <c r="BU86" s="785"/>
      <c r="BV86" s="785"/>
      <c r="BW86" s="785"/>
      <c r="BX86" s="785"/>
      <c r="BY86" s="785"/>
      <c r="BZ86" s="785"/>
    </row>
    <row r="87" spans="39:78" s="143" customFormat="1">
      <c r="AM87" s="785"/>
      <c r="AN87" s="785"/>
      <c r="AO87" s="785"/>
      <c r="AP87" s="785"/>
      <c r="AQ87" s="785"/>
      <c r="AR87" s="785"/>
      <c r="AS87" s="785"/>
      <c r="AT87" s="785"/>
      <c r="AU87" s="785"/>
      <c r="AV87" s="785"/>
      <c r="AW87" s="785"/>
      <c r="AX87" s="785"/>
      <c r="AY87" s="785"/>
      <c r="AZ87" s="785"/>
      <c r="BA87" s="785"/>
      <c r="BB87" s="785"/>
      <c r="BC87" s="785"/>
      <c r="BD87" s="785"/>
      <c r="BE87" s="785"/>
      <c r="BF87" s="785"/>
      <c r="BG87" s="785"/>
      <c r="BH87" s="785"/>
      <c r="BI87" s="785"/>
      <c r="BJ87" s="785"/>
      <c r="BK87" s="785"/>
      <c r="BL87" s="785"/>
      <c r="BM87" s="785"/>
      <c r="BN87" s="785"/>
      <c r="BO87" s="785"/>
      <c r="BP87" s="785"/>
      <c r="BQ87" s="785"/>
      <c r="BR87" s="785"/>
      <c r="BS87" s="785"/>
      <c r="BT87" s="785"/>
      <c r="BU87" s="785"/>
      <c r="BV87" s="785"/>
      <c r="BW87" s="785"/>
      <c r="BX87" s="785"/>
      <c r="BY87" s="785"/>
      <c r="BZ87" s="785"/>
    </row>
    <row r="88" spans="39:78" s="143" customFormat="1">
      <c r="AM88" s="785"/>
      <c r="AN88" s="785"/>
      <c r="AO88" s="785"/>
      <c r="AP88" s="785"/>
      <c r="AQ88" s="785"/>
      <c r="AR88" s="785"/>
      <c r="AS88" s="785"/>
      <c r="AT88" s="785"/>
      <c r="AU88" s="785"/>
      <c r="AV88" s="785"/>
      <c r="AW88" s="785"/>
      <c r="AX88" s="785"/>
      <c r="AY88" s="785"/>
      <c r="AZ88" s="785"/>
      <c r="BA88" s="785"/>
      <c r="BB88" s="785"/>
      <c r="BC88" s="785"/>
      <c r="BD88" s="785"/>
      <c r="BE88" s="785"/>
      <c r="BF88" s="785"/>
      <c r="BG88" s="785"/>
      <c r="BH88" s="785"/>
      <c r="BI88" s="785"/>
      <c r="BJ88" s="785"/>
      <c r="BK88" s="785"/>
      <c r="BL88" s="785"/>
      <c r="BM88" s="785"/>
      <c r="BN88" s="785"/>
      <c r="BO88" s="785"/>
      <c r="BP88" s="785"/>
      <c r="BQ88" s="785"/>
      <c r="BR88" s="785"/>
      <c r="BS88" s="785"/>
      <c r="BT88" s="785"/>
      <c r="BU88" s="785"/>
      <c r="BV88" s="785"/>
      <c r="BW88" s="785"/>
      <c r="BX88" s="785"/>
      <c r="BY88" s="785"/>
      <c r="BZ88" s="785"/>
    </row>
    <row r="89" spans="39:78" s="143" customFormat="1">
      <c r="AM89" s="785"/>
      <c r="AN89" s="785"/>
      <c r="AO89" s="785"/>
      <c r="AP89" s="785"/>
      <c r="AQ89" s="785"/>
      <c r="AR89" s="785"/>
      <c r="AS89" s="785"/>
      <c r="AT89" s="785"/>
      <c r="AU89" s="785"/>
      <c r="AV89" s="785"/>
      <c r="AW89" s="785"/>
      <c r="AX89" s="785"/>
      <c r="AY89" s="785"/>
      <c r="AZ89" s="785"/>
      <c r="BA89" s="785"/>
      <c r="BB89" s="785"/>
      <c r="BC89" s="785"/>
      <c r="BD89" s="785"/>
      <c r="BE89" s="785"/>
      <c r="BF89" s="785"/>
      <c r="BG89" s="785"/>
      <c r="BH89" s="785"/>
      <c r="BI89" s="785"/>
      <c r="BJ89" s="785"/>
      <c r="BK89" s="785"/>
      <c r="BL89" s="785"/>
      <c r="BM89" s="785"/>
      <c r="BN89" s="785"/>
      <c r="BO89" s="785"/>
      <c r="BP89" s="785"/>
      <c r="BQ89" s="785"/>
      <c r="BR89" s="785"/>
      <c r="BS89" s="785"/>
      <c r="BT89" s="785"/>
      <c r="BU89" s="785"/>
      <c r="BV89" s="785"/>
      <c r="BW89" s="785"/>
      <c r="BX89" s="785"/>
      <c r="BY89" s="785"/>
      <c r="BZ89" s="785"/>
    </row>
    <row r="90" spans="39:78" s="143" customFormat="1">
      <c r="AM90" s="785"/>
      <c r="AN90" s="785"/>
      <c r="AO90" s="785"/>
      <c r="AP90" s="785"/>
      <c r="AQ90" s="785"/>
      <c r="AR90" s="785"/>
      <c r="AS90" s="785"/>
      <c r="AT90" s="785"/>
      <c r="AU90" s="785"/>
      <c r="AV90" s="785"/>
      <c r="AW90" s="785"/>
      <c r="AX90" s="785"/>
      <c r="AY90" s="785"/>
      <c r="AZ90" s="785"/>
      <c r="BA90" s="785"/>
      <c r="BB90" s="785"/>
      <c r="BC90" s="785"/>
      <c r="BD90" s="785"/>
      <c r="BE90" s="785"/>
      <c r="BF90" s="785"/>
      <c r="BG90" s="785"/>
      <c r="BH90" s="785"/>
      <c r="BI90" s="785"/>
      <c r="BJ90" s="785"/>
      <c r="BK90" s="785"/>
      <c r="BL90" s="785"/>
      <c r="BM90" s="785"/>
      <c r="BN90" s="785"/>
      <c r="BO90" s="785"/>
      <c r="BP90" s="785"/>
      <c r="BQ90" s="785"/>
      <c r="BR90" s="785"/>
      <c r="BS90" s="785"/>
      <c r="BT90" s="785"/>
      <c r="BU90" s="785"/>
      <c r="BV90" s="785"/>
      <c r="BW90" s="785"/>
      <c r="BX90" s="785"/>
      <c r="BY90" s="785"/>
      <c r="BZ90" s="785"/>
    </row>
    <row r="91" spans="39:78" s="143" customFormat="1">
      <c r="AM91" s="785"/>
      <c r="AN91" s="785"/>
      <c r="AO91" s="785"/>
      <c r="AP91" s="785"/>
      <c r="AQ91" s="785"/>
      <c r="AR91" s="785"/>
      <c r="AS91" s="785"/>
      <c r="AT91" s="785"/>
      <c r="AU91" s="785"/>
      <c r="AV91" s="785"/>
      <c r="AW91" s="785"/>
      <c r="AX91" s="785"/>
      <c r="AY91" s="785"/>
      <c r="AZ91" s="785"/>
      <c r="BA91" s="785"/>
      <c r="BB91" s="785"/>
      <c r="BC91" s="785"/>
      <c r="BD91" s="785"/>
      <c r="BE91" s="785"/>
      <c r="BF91" s="785"/>
      <c r="BG91" s="785"/>
      <c r="BH91" s="785"/>
      <c r="BI91" s="785"/>
      <c r="BJ91" s="785"/>
      <c r="BK91" s="785"/>
      <c r="BL91" s="785"/>
      <c r="BM91" s="785"/>
      <c r="BN91" s="785"/>
      <c r="BO91" s="785"/>
      <c r="BP91" s="785"/>
      <c r="BQ91" s="785"/>
      <c r="BR91" s="785"/>
      <c r="BS91" s="785"/>
      <c r="BT91" s="785"/>
      <c r="BU91" s="785"/>
      <c r="BV91" s="785"/>
      <c r="BW91" s="785"/>
      <c r="BX91" s="785"/>
      <c r="BY91" s="785"/>
      <c r="BZ91" s="785"/>
    </row>
    <row r="92" spans="39:78" s="143" customFormat="1">
      <c r="AM92" s="785"/>
      <c r="AN92" s="785"/>
      <c r="AO92" s="785"/>
      <c r="AP92" s="785"/>
      <c r="AQ92" s="785"/>
      <c r="AR92" s="785"/>
      <c r="AS92" s="785"/>
      <c r="AT92" s="785"/>
      <c r="AU92" s="785"/>
      <c r="AV92" s="785"/>
      <c r="AW92" s="785"/>
      <c r="AX92" s="785"/>
      <c r="AY92" s="785"/>
      <c r="AZ92" s="785"/>
      <c r="BA92" s="785"/>
      <c r="BB92" s="785"/>
      <c r="BC92" s="785"/>
      <c r="BD92" s="785"/>
      <c r="BE92" s="785"/>
      <c r="BF92" s="785"/>
      <c r="BG92" s="785"/>
      <c r="BH92" s="785"/>
      <c r="BI92" s="785"/>
      <c r="BJ92" s="785"/>
      <c r="BK92" s="785"/>
      <c r="BL92" s="785"/>
      <c r="BM92" s="785"/>
      <c r="BN92" s="785"/>
      <c r="BO92" s="785"/>
      <c r="BP92" s="785"/>
      <c r="BQ92" s="785"/>
      <c r="BR92" s="785"/>
      <c r="BS92" s="785"/>
      <c r="BT92" s="785"/>
      <c r="BU92" s="785"/>
      <c r="BV92" s="785"/>
      <c r="BW92" s="785"/>
      <c r="BX92" s="785"/>
      <c r="BY92" s="785"/>
      <c r="BZ92" s="785"/>
    </row>
    <row r="93" spans="39:78" s="143" customFormat="1">
      <c r="AM93" s="785"/>
      <c r="AN93" s="785"/>
      <c r="AO93" s="785"/>
      <c r="AP93" s="785"/>
      <c r="AQ93" s="785"/>
      <c r="AR93" s="785"/>
      <c r="AS93" s="785"/>
      <c r="AT93" s="785"/>
      <c r="AU93" s="785"/>
      <c r="AV93" s="785"/>
      <c r="AW93" s="785"/>
      <c r="AX93" s="785"/>
      <c r="AY93" s="785"/>
      <c r="AZ93" s="785"/>
      <c r="BA93" s="785"/>
      <c r="BB93" s="785"/>
      <c r="BC93" s="785"/>
      <c r="BD93" s="785"/>
      <c r="BE93" s="785"/>
      <c r="BF93" s="785"/>
      <c r="BG93" s="785"/>
      <c r="BH93" s="785"/>
      <c r="BI93" s="785"/>
      <c r="BJ93" s="785"/>
      <c r="BK93" s="785"/>
      <c r="BL93" s="785"/>
      <c r="BM93" s="785"/>
      <c r="BN93" s="785"/>
      <c r="BO93" s="785"/>
      <c r="BP93" s="785"/>
      <c r="BQ93" s="785"/>
      <c r="BR93" s="785"/>
      <c r="BS93" s="785"/>
      <c r="BT93" s="785"/>
      <c r="BU93" s="785"/>
      <c r="BV93" s="785"/>
      <c r="BW93" s="785"/>
      <c r="BX93" s="785"/>
      <c r="BY93" s="785"/>
      <c r="BZ93" s="785"/>
    </row>
    <row r="94" spans="39:78" s="143" customFormat="1">
      <c r="AM94" s="785"/>
      <c r="AN94" s="785"/>
      <c r="AO94" s="785"/>
      <c r="AP94" s="785"/>
      <c r="AQ94" s="785"/>
      <c r="AR94" s="785"/>
      <c r="AS94" s="785"/>
      <c r="AT94" s="785"/>
      <c r="AU94" s="785"/>
      <c r="AV94" s="785"/>
      <c r="AW94" s="785"/>
      <c r="AX94" s="785"/>
      <c r="AY94" s="785"/>
      <c r="AZ94" s="785"/>
      <c r="BA94" s="785"/>
      <c r="BB94" s="785"/>
      <c r="BC94" s="785"/>
      <c r="BD94" s="785"/>
      <c r="BE94" s="785"/>
      <c r="BF94" s="785"/>
      <c r="BG94" s="785"/>
      <c r="BH94" s="785"/>
      <c r="BI94" s="785"/>
      <c r="BJ94" s="785"/>
      <c r="BK94" s="785"/>
      <c r="BL94" s="785"/>
      <c r="BM94" s="785"/>
      <c r="BN94" s="785"/>
      <c r="BO94" s="785"/>
      <c r="BP94" s="785"/>
      <c r="BQ94" s="785"/>
      <c r="BR94" s="785"/>
      <c r="BS94" s="785"/>
      <c r="BT94" s="785"/>
      <c r="BU94" s="785"/>
      <c r="BV94" s="785"/>
      <c r="BW94" s="785"/>
      <c r="BX94" s="785"/>
      <c r="BY94" s="785"/>
      <c r="BZ94" s="785"/>
    </row>
    <row r="95" spans="39:78" s="143" customFormat="1">
      <c r="AM95" s="785"/>
      <c r="AN95" s="785"/>
      <c r="AO95" s="785"/>
      <c r="AP95" s="785"/>
      <c r="AQ95" s="785"/>
      <c r="AR95" s="785"/>
      <c r="AS95" s="785"/>
      <c r="AT95" s="785"/>
      <c r="AU95" s="785"/>
      <c r="AV95" s="785"/>
      <c r="AW95" s="785"/>
      <c r="AX95" s="785"/>
      <c r="AY95" s="785"/>
      <c r="AZ95" s="785"/>
      <c r="BA95" s="785"/>
      <c r="BB95" s="785"/>
      <c r="BC95" s="785"/>
      <c r="BD95" s="785"/>
      <c r="BE95" s="785"/>
      <c r="BF95" s="785"/>
      <c r="BG95" s="785"/>
      <c r="BH95" s="785"/>
      <c r="BI95" s="785"/>
      <c r="BJ95" s="785"/>
      <c r="BK95" s="785"/>
      <c r="BL95" s="785"/>
      <c r="BM95" s="785"/>
      <c r="BN95" s="785"/>
      <c r="BO95" s="785"/>
      <c r="BP95" s="785"/>
      <c r="BQ95" s="785"/>
      <c r="BR95" s="785"/>
      <c r="BS95" s="785"/>
      <c r="BT95" s="785"/>
      <c r="BU95" s="785"/>
      <c r="BV95" s="785"/>
      <c r="BW95" s="785"/>
      <c r="BX95" s="785"/>
      <c r="BY95" s="785"/>
      <c r="BZ95" s="785"/>
    </row>
    <row r="96" spans="39:78" s="143" customFormat="1">
      <c r="AM96" s="785"/>
      <c r="AN96" s="785"/>
      <c r="AO96" s="785"/>
      <c r="AP96" s="785"/>
      <c r="AQ96" s="785"/>
      <c r="AR96" s="785"/>
      <c r="AS96" s="785"/>
      <c r="AT96" s="785"/>
      <c r="AU96" s="785"/>
      <c r="AV96" s="785"/>
      <c r="AW96" s="785"/>
      <c r="AX96" s="785"/>
      <c r="AY96" s="785"/>
      <c r="AZ96" s="785"/>
      <c r="BA96" s="785"/>
      <c r="BB96" s="785"/>
      <c r="BC96" s="785"/>
      <c r="BD96" s="785"/>
      <c r="BE96" s="785"/>
      <c r="BF96" s="785"/>
      <c r="BG96" s="785"/>
      <c r="BH96" s="785"/>
      <c r="BI96" s="785"/>
      <c r="BJ96" s="785"/>
      <c r="BK96" s="785"/>
      <c r="BL96" s="785"/>
      <c r="BM96" s="785"/>
      <c r="BN96" s="785"/>
      <c r="BO96" s="785"/>
      <c r="BP96" s="785"/>
      <c r="BQ96" s="785"/>
      <c r="BR96" s="785"/>
      <c r="BS96" s="785"/>
      <c r="BT96" s="785"/>
      <c r="BU96" s="785"/>
      <c r="BV96" s="785"/>
      <c r="BW96" s="785"/>
      <c r="BX96" s="785"/>
      <c r="BY96" s="785"/>
      <c r="BZ96" s="785"/>
    </row>
    <row r="97" spans="39:78" s="143" customFormat="1">
      <c r="AM97" s="785"/>
      <c r="AN97" s="785"/>
      <c r="AO97" s="785"/>
      <c r="AP97" s="785"/>
      <c r="AQ97" s="785"/>
      <c r="AR97" s="785"/>
      <c r="AS97" s="785"/>
      <c r="AT97" s="785"/>
      <c r="AU97" s="785"/>
      <c r="AV97" s="785"/>
      <c r="AW97" s="785"/>
      <c r="AX97" s="785"/>
      <c r="AY97" s="785"/>
      <c r="AZ97" s="785"/>
      <c r="BA97" s="785"/>
      <c r="BB97" s="785"/>
      <c r="BC97" s="785"/>
      <c r="BD97" s="785"/>
      <c r="BE97" s="785"/>
      <c r="BF97" s="785"/>
      <c r="BG97" s="785"/>
      <c r="BH97" s="785"/>
      <c r="BI97" s="785"/>
      <c r="BJ97" s="785"/>
      <c r="BK97" s="785"/>
      <c r="BL97" s="785"/>
      <c r="BM97" s="785"/>
      <c r="BN97" s="785"/>
      <c r="BO97" s="785"/>
      <c r="BP97" s="785"/>
      <c r="BQ97" s="785"/>
      <c r="BR97" s="785"/>
      <c r="BS97" s="785"/>
      <c r="BT97" s="785"/>
      <c r="BU97" s="785"/>
      <c r="BV97" s="785"/>
      <c r="BW97" s="785"/>
      <c r="BX97" s="785"/>
      <c r="BY97" s="785"/>
      <c r="BZ97" s="785"/>
    </row>
    <row r="98" spans="39:78" s="143" customFormat="1">
      <c r="AM98" s="785"/>
      <c r="AN98" s="785"/>
      <c r="AO98" s="785"/>
      <c r="AP98" s="785"/>
      <c r="AQ98" s="785"/>
      <c r="AR98" s="785"/>
      <c r="AS98" s="785"/>
      <c r="AT98" s="785"/>
      <c r="AU98" s="785"/>
      <c r="AV98" s="785"/>
      <c r="AW98" s="785"/>
      <c r="AX98" s="785"/>
      <c r="AY98" s="785"/>
      <c r="AZ98" s="785"/>
      <c r="BA98" s="785"/>
      <c r="BB98" s="785"/>
      <c r="BC98" s="785"/>
      <c r="BD98" s="785"/>
      <c r="BE98" s="785"/>
      <c r="BF98" s="785"/>
      <c r="BG98" s="785"/>
      <c r="BH98" s="785"/>
      <c r="BI98" s="785"/>
      <c r="BJ98" s="785"/>
      <c r="BK98" s="785"/>
      <c r="BL98" s="785"/>
      <c r="BM98" s="785"/>
      <c r="BN98" s="785"/>
      <c r="BO98" s="785"/>
      <c r="BP98" s="785"/>
      <c r="BQ98" s="785"/>
      <c r="BR98" s="785"/>
      <c r="BS98" s="785"/>
      <c r="BT98" s="785"/>
      <c r="BU98" s="785"/>
      <c r="BV98" s="785"/>
      <c r="BW98" s="785"/>
      <c r="BX98" s="785"/>
      <c r="BY98" s="785"/>
      <c r="BZ98" s="785"/>
    </row>
    <row r="99" spans="39:78" s="143" customFormat="1">
      <c r="AM99" s="785"/>
      <c r="AN99" s="785"/>
      <c r="AO99" s="785"/>
      <c r="AP99" s="785"/>
      <c r="AQ99" s="785"/>
      <c r="AR99" s="785"/>
      <c r="AS99" s="785"/>
      <c r="AT99" s="785"/>
      <c r="AU99" s="785"/>
      <c r="AV99" s="785"/>
      <c r="AW99" s="785"/>
      <c r="AX99" s="785"/>
      <c r="AY99" s="785"/>
      <c r="AZ99" s="785"/>
      <c r="BA99" s="785"/>
      <c r="BB99" s="785"/>
      <c r="BC99" s="785"/>
      <c r="BD99" s="785"/>
      <c r="BE99" s="785"/>
      <c r="BF99" s="785"/>
      <c r="BG99" s="785"/>
      <c r="BH99" s="785"/>
      <c r="BI99" s="785"/>
      <c r="BJ99" s="785"/>
      <c r="BK99" s="785"/>
      <c r="BL99" s="785"/>
      <c r="BM99" s="785"/>
      <c r="BN99" s="785"/>
      <c r="BO99" s="785"/>
      <c r="BP99" s="785"/>
      <c r="BQ99" s="785"/>
      <c r="BR99" s="785"/>
      <c r="BS99" s="785"/>
      <c r="BT99" s="785"/>
      <c r="BU99" s="785"/>
      <c r="BV99" s="785"/>
      <c r="BW99" s="785"/>
      <c r="BX99" s="785"/>
      <c r="BY99" s="785"/>
      <c r="BZ99" s="785"/>
    </row>
    <row r="100" spans="39:78" s="143" customFormat="1">
      <c r="AM100" s="785"/>
      <c r="AN100" s="785"/>
      <c r="AO100" s="785"/>
      <c r="AP100" s="785"/>
      <c r="AQ100" s="785"/>
      <c r="AR100" s="785"/>
      <c r="AS100" s="785"/>
      <c r="AT100" s="785"/>
      <c r="AU100" s="785"/>
      <c r="AV100" s="785"/>
      <c r="AW100" s="785"/>
      <c r="AX100" s="785"/>
      <c r="AY100" s="785"/>
      <c r="AZ100" s="785"/>
      <c r="BA100" s="785"/>
      <c r="BB100" s="785"/>
      <c r="BC100" s="785"/>
      <c r="BD100" s="785"/>
      <c r="BE100" s="785"/>
      <c r="BF100" s="785"/>
      <c r="BG100" s="785"/>
      <c r="BH100" s="785"/>
      <c r="BI100" s="785"/>
      <c r="BJ100" s="785"/>
      <c r="BK100" s="785"/>
      <c r="BL100" s="785"/>
      <c r="BM100" s="785"/>
      <c r="BN100" s="785"/>
      <c r="BO100" s="785"/>
      <c r="BP100" s="785"/>
      <c r="BQ100" s="785"/>
      <c r="BR100" s="785"/>
      <c r="BS100" s="785"/>
      <c r="BT100" s="785"/>
      <c r="BU100" s="785"/>
      <c r="BV100" s="785"/>
      <c r="BW100" s="785"/>
      <c r="BX100" s="785"/>
      <c r="BY100" s="785"/>
      <c r="BZ100" s="785"/>
    </row>
    <row r="101" spans="39:78" s="143" customFormat="1">
      <c r="AM101" s="785"/>
      <c r="AN101" s="785"/>
      <c r="AO101" s="785"/>
      <c r="AP101" s="785"/>
      <c r="AQ101" s="785"/>
      <c r="AR101" s="785"/>
      <c r="AS101" s="785"/>
      <c r="AT101" s="785"/>
      <c r="AU101" s="785"/>
      <c r="AV101" s="785"/>
      <c r="AW101" s="785"/>
      <c r="AX101" s="785"/>
      <c r="AY101" s="785"/>
      <c r="AZ101" s="785"/>
      <c r="BA101" s="785"/>
      <c r="BB101" s="785"/>
      <c r="BC101" s="785"/>
      <c r="BD101" s="785"/>
      <c r="BE101" s="785"/>
      <c r="BF101" s="785"/>
      <c r="BG101" s="785"/>
      <c r="BH101" s="785"/>
      <c r="BI101" s="785"/>
      <c r="BJ101" s="785"/>
      <c r="BK101" s="785"/>
      <c r="BL101" s="785"/>
      <c r="BM101" s="785"/>
      <c r="BN101" s="785"/>
      <c r="BO101" s="785"/>
      <c r="BP101" s="785"/>
      <c r="BQ101" s="785"/>
      <c r="BR101" s="785"/>
      <c r="BS101" s="785"/>
      <c r="BT101" s="785"/>
      <c r="BU101" s="785"/>
      <c r="BV101" s="785"/>
      <c r="BW101" s="785"/>
      <c r="BX101" s="785"/>
      <c r="BY101" s="785"/>
      <c r="BZ101" s="785"/>
    </row>
    <row r="102" spans="39:78" s="143" customFormat="1">
      <c r="AM102" s="785"/>
      <c r="AN102" s="785"/>
      <c r="AO102" s="785"/>
      <c r="AP102" s="785"/>
      <c r="AQ102" s="785"/>
      <c r="AR102" s="785"/>
      <c r="AS102" s="785"/>
      <c r="AT102" s="785"/>
      <c r="AU102" s="785"/>
      <c r="AV102" s="785"/>
      <c r="AW102" s="785"/>
      <c r="AX102" s="785"/>
      <c r="AY102" s="785"/>
      <c r="AZ102" s="785"/>
      <c r="BA102" s="785"/>
      <c r="BB102" s="785"/>
      <c r="BC102" s="785"/>
      <c r="BD102" s="785"/>
      <c r="BE102" s="785"/>
      <c r="BF102" s="785"/>
      <c r="BG102" s="785"/>
      <c r="BH102" s="785"/>
      <c r="BI102" s="785"/>
      <c r="BJ102" s="785"/>
      <c r="BK102" s="785"/>
      <c r="BL102" s="785"/>
      <c r="BM102" s="785"/>
      <c r="BN102" s="785"/>
      <c r="BO102" s="785"/>
      <c r="BP102" s="785"/>
      <c r="BQ102" s="785"/>
      <c r="BR102" s="785"/>
      <c r="BS102" s="785"/>
      <c r="BT102" s="785"/>
      <c r="BU102" s="785"/>
      <c r="BV102" s="785"/>
      <c r="BW102" s="785"/>
      <c r="BX102" s="785"/>
      <c r="BY102" s="785"/>
      <c r="BZ102" s="785"/>
    </row>
    <row r="103" spans="39:78" s="143" customFormat="1">
      <c r="AM103" s="785"/>
      <c r="AN103" s="785"/>
      <c r="AO103" s="785"/>
      <c r="AP103" s="785"/>
      <c r="AQ103" s="785"/>
      <c r="AR103" s="785"/>
      <c r="AS103" s="785"/>
      <c r="AT103" s="785"/>
      <c r="AU103" s="785"/>
      <c r="AV103" s="785"/>
      <c r="AW103" s="785"/>
      <c r="AX103" s="785"/>
      <c r="AY103" s="785"/>
      <c r="AZ103" s="785"/>
      <c r="BA103" s="785"/>
      <c r="BB103" s="785"/>
      <c r="BC103" s="785"/>
      <c r="BD103" s="785"/>
      <c r="BE103" s="785"/>
      <c r="BF103" s="785"/>
      <c r="BG103" s="785"/>
      <c r="BH103" s="785"/>
      <c r="BI103" s="785"/>
      <c r="BJ103" s="785"/>
      <c r="BK103" s="785"/>
      <c r="BL103" s="785"/>
      <c r="BM103" s="785"/>
      <c r="BN103" s="785"/>
      <c r="BO103" s="785"/>
      <c r="BP103" s="785"/>
      <c r="BQ103" s="785"/>
      <c r="BR103" s="785"/>
      <c r="BS103" s="785"/>
      <c r="BT103" s="785"/>
      <c r="BU103" s="785"/>
      <c r="BV103" s="785"/>
      <c r="BW103" s="785"/>
      <c r="BX103" s="785"/>
      <c r="BY103" s="785"/>
      <c r="BZ103" s="785"/>
    </row>
    <row r="104" spans="39:78" s="143" customFormat="1">
      <c r="AM104" s="785"/>
      <c r="AN104" s="785"/>
      <c r="AO104" s="785"/>
      <c r="AP104" s="785"/>
      <c r="AQ104" s="785"/>
      <c r="AR104" s="785"/>
      <c r="AS104" s="785"/>
      <c r="AT104" s="785"/>
      <c r="AU104" s="785"/>
      <c r="AV104" s="785"/>
      <c r="AW104" s="785"/>
      <c r="AX104" s="785"/>
      <c r="AY104" s="785"/>
      <c r="AZ104" s="785"/>
      <c r="BA104" s="785"/>
      <c r="BB104" s="785"/>
      <c r="BC104" s="785"/>
      <c r="BD104" s="785"/>
      <c r="BE104" s="785"/>
      <c r="BF104" s="785"/>
      <c r="BG104" s="785"/>
      <c r="BH104" s="785"/>
      <c r="BI104" s="785"/>
      <c r="BJ104" s="785"/>
      <c r="BK104" s="785"/>
      <c r="BL104" s="785"/>
      <c r="BM104" s="785"/>
      <c r="BN104" s="785"/>
      <c r="BO104" s="785"/>
      <c r="BP104" s="785"/>
      <c r="BQ104" s="785"/>
      <c r="BR104" s="785"/>
      <c r="BS104" s="785"/>
      <c r="BT104" s="785"/>
      <c r="BU104" s="785"/>
      <c r="BV104" s="785"/>
      <c r="BW104" s="785"/>
      <c r="BX104" s="785"/>
      <c r="BY104" s="785"/>
      <c r="BZ104" s="785"/>
    </row>
    <row r="105" spans="39:78" s="143" customFormat="1">
      <c r="AM105" s="785"/>
      <c r="AN105" s="785"/>
      <c r="AO105" s="785"/>
      <c r="AP105" s="785"/>
      <c r="AQ105" s="785"/>
      <c r="AR105" s="785"/>
      <c r="AS105" s="785"/>
      <c r="AT105" s="785"/>
      <c r="AU105" s="785"/>
      <c r="AV105" s="785"/>
      <c r="AW105" s="785"/>
      <c r="AX105" s="785"/>
      <c r="AY105" s="785"/>
      <c r="AZ105" s="785"/>
      <c r="BA105" s="785"/>
      <c r="BB105" s="785"/>
      <c r="BC105" s="785"/>
      <c r="BD105" s="785"/>
      <c r="BE105" s="785"/>
      <c r="BF105" s="785"/>
      <c r="BG105" s="785"/>
      <c r="BH105" s="785"/>
      <c r="BI105" s="785"/>
      <c r="BJ105" s="785"/>
      <c r="BK105" s="785"/>
      <c r="BL105" s="785"/>
      <c r="BM105" s="785"/>
      <c r="BN105" s="785"/>
      <c r="BO105" s="785"/>
      <c r="BP105" s="785"/>
      <c r="BQ105" s="785"/>
      <c r="BR105" s="785"/>
      <c r="BS105" s="785"/>
      <c r="BT105" s="785"/>
      <c r="BU105" s="785"/>
      <c r="BV105" s="785"/>
      <c r="BW105" s="785"/>
      <c r="BX105" s="785"/>
      <c r="BY105" s="785"/>
      <c r="BZ105" s="785"/>
    </row>
    <row r="106" spans="39:78" s="143" customFormat="1">
      <c r="AM106" s="785"/>
      <c r="AN106" s="785"/>
      <c r="AO106" s="785"/>
      <c r="AP106" s="785"/>
      <c r="AQ106" s="785"/>
      <c r="AR106" s="785"/>
      <c r="AS106" s="785"/>
      <c r="AT106" s="785"/>
      <c r="AU106" s="785"/>
      <c r="AV106" s="785"/>
      <c r="AW106" s="785"/>
      <c r="AX106" s="785"/>
      <c r="AY106" s="785"/>
      <c r="AZ106" s="785"/>
      <c r="BA106" s="785"/>
      <c r="BB106" s="785"/>
      <c r="BC106" s="785"/>
      <c r="BD106" s="785"/>
      <c r="BE106" s="785"/>
      <c r="BF106" s="785"/>
      <c r="BG106" s="785"/>
      <c r="BH106" s="785"/>
      <c r="BI106" s="785"/>
      <c r="BJ106" s="785"/>
      <c r="BK106" s="785"/>
      <c r="BL106" s="785"/>
      <c r="BM106" s="785"/>
      <c r="BN106" s="785"/>
      <c r="BO106" s="785"/>
      <c r="BP106" s="785"/>
      <c r="BQ106" s="785"/>
      <c r="BR106" s="785"/>
      <c r="BS106" s="785"/>
      <c r="BT106" s="785"/>
      <c r="BU106" s="785"/>
      <c r="BV106" s="785"/>
      <c r="BW106" s="785"/>
      <c r="BX106" s="785"/>
      <c r="BY106" s="785"/>
      <c r="BZ106" s="785"/>
    </row>
    <row r="107" spans="39:78" s="143" customFormat="1">
      <c r="AM107" s="785"/>
      <c r="AN107" s="785"/>
      <c r="AO107" s="785"/>
      <c r="AP107" s="785"/>
      <c r="AQ107" s="785"/>
      <c r="AR107" s="785"/>
      <c r="AS107" s="785"/>
      <c r="AT107" s="785"/>
      <c r="AU107" s="785"/>
      <c r="AV107" s="785"/>
      <c r="AW107" s="785"/>
      <c r="AX107" s="785"/>
      <c r="AY107" s="785"/>
      <c r="AZ107" s="785"/>
      <c r="BA107" s="785"/>
      <c r="BB107" s="785"/>
      <c r="BC107" s="785"/>
      <c r="BD107" s="785"/>
      <c r="BE107" s="785"/>
      <c r="BF107" s="785"/>
      <c r="BG107" s="785"/>
      <c r="BH107" s="785"/>
      <c r="BI107" s="785"/>
      <c r="BJ107" s="785"/>
      <c r="BK107" s="785"/>
      <c r="BL107" s="785"/>
      <c r="BM107" s="785"/>
      <c r="BN107" s="785"/>
      <c r="BO107" s="785"/>
      <c r="BP107" s="785"/>
      <c r="BQ107" s="785"/>
      <c r="BR107" s="785"/>
      <c r="BS107" s="785"/>
      <c r="BT107" s="785"/>
      <c r="BU107" s="785"/>
      <c r="BV107" s="785"/>
      <c r="BW107" s="785"/>
      <c r="BX107" s="785"/>
      <c r="BY107" s="785"/>
      <c r="BZ107" s="785"/>
    </row>
    <row r="108" spans="39:78" s="143" customFormat="1">
      <c r="AM108" s="785"/>
      <c r="AN108" s="785"/>
      <c r="AO108" s="785"/>
      <c r="AP108" s="785"/>
      <c r="AQ108" s="785"/>
      <c r="AR108" s="785"/>
      <c r="AS108" s="785"/>
      <c r="AT108" s="785"/>
      <c r="AU108" s="785"/>
      <c r="AV108" s="785"/>
      <c r="AW108" s="785"/>
      <c r="AX108" s="785"/>
      <c r="AY108" s="785"/>
      <c r="AZ108" s="785"/>
      <c r="BA108" s="785"/>
      <c r="BB108" s="785"/>
      <c r="BC108" s="785"/>
      <c r="BD108" s="785"/>
      <c r="BE108" s="785"/>
      <c r="BF108" s="785"/>
      <c r="BG108" s="785"/>
      <c r="BH108" s="785"/>
      <c r="BI108" s="785"/>
      <c r="BJ108" s="785"/>
      <c r="BK108" s="785"/>
      <c r="BL108" s="785"/>
      <c r="BM108" s="785"/>
      <c r="BN108" s="785"/>
      <c r="BO108" s="785"/>
      <c r="BP108" s="785"/>
      <c r="BQ108" s="785"/>
      <c r="BR108" s="785"/>
      <c r="BS108" s="785"/>
      <c r="BT108" s="785"/>
      <c r="BU108" s="785"/>
      <c r="BV108" s="785"/>
      <c r="BW108" s="785"/>
      <c r="BX108" s="785"/>
      <c r="BY108" s="785"/>
      <c r="BZ108" s="785"/>
    </row>
    <row r="109" spans="39:78" s="143" customFormat="1">
      <c r="AM109" s="785"/>
      <c r="AN109" s="785"/>
      <c r="AO109" s="785"/>
      <c r="AP109" s="785"/>
      <c r="AQ109" s="785"/>
      <c r="AR109" s="785"/>
      <c r="AS109" s="785"/>
      <c r="AT109" s="785"/>
      <c r="AU109" s="785"/>
      <c r="AV109" s="785"/>
      <c r="AW109" s="785"/>
      <c r="AX109" s="785"/>
      <c r="AY109" s="785"/>
      <c r="AZ109" s="785"/>
      <c r="BA109" s="785"/>
      <c r="BB109" s="785"/>
      <c r="BC109" s="785"/>
      <c r="BD109" s="785"/>
      <c r="BE109" s="785"/>
      <c r="BF109" s="785"/>
      <c r="BG109" s="785"/>
      <c r="BH109" s="785"/>
      <c r="BI109" s="785"/>
      <c r="BJ109" s="785"/>
      <c r="BK109" s="785"/>
      <c r="BL109" s="785"/>
      <c r="BM109" s="785"/>
      <c r="BN109" s="785"/>
      <c r="BO109" s="785"/>
      <c r="BP109" s="785"/>
      <c r="BQ109" s="785"/>
      <c r="BR109" s="785"/>
      <c r="BS109" s="785"/>
      <c r="BT109" s="785"/>
      <c r="BU109" s="785"/>
      <c r="BV109" s="785"/>
      <c r="BW109" s="785"/>
      <c r="BX109" s="785"/>
      <c r="BY109" s="785"/>
      <c r="BZ109" s="785"/>
    </row>
    <row r="110" spans="39:78" s="143" customFormat="1">
      <c r="AM110" s="785"/>
      <c r="AN110" s="785"/>
      <c r="AO110" s="785"/>
      <c r="AP110" s="785"/>
      <c r="AQ110" s="785"/>
      <c r="AR110" s="785"/>
      <c r="AS110" s="785"/>
      <c r="AT110" s="785"/>
      <c r="AU110" s="785"/>
      <c r="AV110" s="785"/>
      <c r="AW110" s="785"/>
      <c r="AX110" s="785"/>
      <c r="AY110" s="785"/>
      <c r="AZ110" s="785"/>
      <c r="BA110" s="785"/>
      <c r="BB110" s="785"/>
      <c r="BC110" s="785"/>
      <c r="BD110" s="785"/>
      <c r="BE110" s="785"/>
      <c r="BF110" s="785"/>
      <c r="BG110" s="785"/>
      <c r="BH110" s="785"/>
      <c r="BI110" s="785"/>
      <c r="BJ110" s="785"/>
      <c r="BK110" s="785"/>
      <c r="BL110" s="785"/>
      <c r="BM110" s="785"/>
      <c r="BN110" s="785"/>
      <c r="BO110" s="785"/>
      <c r="BP110" s="785"/>
      <c r="BQ110" s="785"/>
      <c r="BR110" s="785"/>
      <c r="BS110" s="785"/>
      <c r="BT110" s="785"/>
      <c r="BU110" s="785"/>
      <c r="BV110" s="785"/>
      <c r="BW110" s="785"/>
      <c r="BX110" s="785"/>
      <c r="BY110" s="785"/>
      <c r="BZ110" s="785"/>
    </row>
    <row r="111" spans="39:78" s="143" customFormat="1">
      <c r="AM111" s="785"/>
      <c r="AN111" s="785"/>
      <c r="AO111" s="785"/>
      <c r="AP111" s="785"/>
      <c r="AQ111" s="785"/>
      <c r="AR111" s="785"/>
      <c r="AS111" s="785"/>
      <c r="AT111" s="785"/>
      <c r="AU111" s="785"/>
      <c r="AV111" s="785"/>
      <c r="AW111" s="785"/>
      <c r="AX111" s="785"/>
      <c r="AY111" s="785"/>
      <c r="AZ111" s="785"/>
      <c r="BA111" s="785"/>
      <c r="BB111" s="785"/>
      <c r="BC111" s="785"/>
      <c r="BD111" s="785"/>
      <c r="BE111" s="785"/>
      <c r="BF111" s="785"/>
      <c r="BG111" s="785"/>
      <c r="BH111" s="785"/>
      <c r="BI111" s="785"/>
      <c r="BJ111" s="785"/>
      <c r="BK111" s="785"/>
      <c r="BL111" s="785"/>
      <c r="BM111" s="785"/>
      <c r="BN111" s="785"/>
      <c r="BO111" s="785"/>
      <c r="BP111" s="785"/>
      <c r="BQ111" s="785"/>
      <c r="BR111" s="785"/>
      <c r="BS111" s="785"/>
      <c r="BT111" s="785"/>
      <c r="BU111" s="785"/>
      <c r="BV111" s="785"/>
      <c r="BW111" s="785"/>
      <c r="BX111" s="785"/>
      <c r="BY111" s="785"/>
      <c r="BZ111" s="785"/>
    </row>
    <row r="112" spans="39:78" s="143" customFormat="1">
      <c r="AM112" s="785"/>
      <c r="AN112" s="785"/>
      <c r="AO112" s="785"/>
      <c r="AP112" s="785"/>
      <c r="AQ112" s="785"/>
      <c r="AR112" s="785"/>
      <c r="AS112" s="785"/>
      <c r="AT112" s="785"/>
      <c r="AU112" s="785"/>
      <c r="AV112" s="785"/>
      <c r="AW112" s="785"/>
      <c r="AX112" s="785"/>
      <c r="AY112" s="785"/>
      <c r="AZ112" s="785"/>
      <c r="BA112" s="785"/>
      <c r="BB112" s="785"/>
      <c r="BC112" s="785"/>
      <c r="BD112" s="785"/>
      <c r="BE112" s="785"/>
      <c r="BF112" s="785"/>
      <c r="BG112" s="785"/>
      <c r="BH112" s="785"/>
      <c r="BI112" s="785"/>
      <c r="BJ112" s="785"/>
      <c r="BK112" s="785"/>
      <c r="BL112" s="785"/>
      <c r="BM112" s="785"/>
      <c r="BN112" s="785"/>
      <c r="BO112" s="785"/>
      <c r="BP112" s="785"/>
      <c r="BQ112" s="785"/>
      <c r="BR112" s="785"/>
      <c r="BS112" s="785"/>
      <c r="BT112" s="785"/>
      <c r="BU112" s="785"/>
      <c r="BV112" s="785"/>
      <c r="BW112" s="785"/>
      <c r="BX112" s="785"/>
      <c r="BY112" s="785"/>
      <c r="BZ112" s="785"/>
    </row>
    <row r="113" spans="39:78" s="143" customFormat="1">
      <c r="AM113" s="785"/>
      <c r="AN113" s="785"/>
      <c r="AO113" s="785"/>
      <c r="AP113" s="785"/>
      <c r="AQ113" s="785"/>
      <c r="AR113" s="785"/>
      <c r="AS113" s="785"/>
      <c r="AT113" s="785"/>
      <c r="AU113" s="785"/>
      <c r="AV113" s="785"/>
      <c r="AW113" s="785"/>
      <c r="AX113" s="785"/>
      <c r="AY113" s="785"/>
      <c r="AZ113" s="785"/>
      <c r="BA113" s="785"/>
      <c r="BB113" s="785"/>
      <c r="BC113" s="785"/>
      <c r="BD113" s="785"/>
      <c r="BE113" s="785"/>
      <c r="BF113" s="785"/>
      <c r="BG113" s="785"/>
      <c r="BH113" s="785"/>
      <c r="BI113" s="785"/>
      <c r="BJ113" s="785"/>
      <c r="BK113" s="785"/>
      <c r="BL113" s="785"/>
      <c r="BM113" s="785"/>
      <c r="BN113" s="785"/>
      <c r="BO113" s="785"/>
      <c r="BP113" s="785"/>
      <c r="BQ113" s="785"/>
      <c r="BR113" s="785"/>
      <c r="BS113" s="785"/>
      <c r="BT113" s="785"/>
      <c r="BU113" s="785"/>
      <c r="BV113" s="785"/>
      <c r="BW113" s="785"/>
      <c r="BX113" s="785"/>
      <c r="BY113" s="785"/>
      <c r="BZ113" s="785"/>
    </row>
    <row r="114" spans="39:78" s="143" customFormat="1">
      <c r="AM114" s="785"/>
      <c r="AN114" s="785"/>
      <c r="AO114" s="785"/>
      <c r="AP114" s="785"/>
      <c r="AQ114" s="785"/>
      <c r="AR114" s="785"/>
      <c r="AS114" s="785"/>
      <c r="AT114" s="785"/>
      <c r="AU114" s="785"/>
      <c r="AV114" s="785"/>
      <c r="AW114" s="785"/>
      <c r="AX114" s="785"/>
      <c r="AY114" s="785"/>
      <c r="AZ114" s="785"/>
      <c r="BA114" s="785"/>
      <c r="BB114" s="785"/>
      <c r="BC114" s="785"/>
      <c r="BD114" s="785"/>
      <c r="BE114" s="785"/>
      <c r="BF114" s="785"/>
      <c r="BG114" s="785"/>
      <c r="BH114" s="785"/>
      <c r="BI114" s="785"/>
      <c r="BJ114" s="785"/>
      <c r="BK114" s="785"/>
      <c r="BL114" s="785"/>
      <c r="BM114" s="785"/>
      <c r="BN114" s="785"/>
      <c r="BO114" s="785"/>
      <c r="BP114" s="785"/>
      <c r="BQ114" s="785"/>
      <c r="BR114" s="785"/>
      <c r="BS114" s="785"/>
      <c r="BT114" s="785"/>
      <c r="BU114" s="785"/>
      <c r="BV114" s="785"/>
      <c r="BW114" s="785"/>
      <c r="BX114" s="785"/>
      <c r="BY114" s="785"/>
      <c r="BZ114" s="785"/>
    </row>
    <row r="115" spans="39:78" s="143" customFormat="1">
      <c r="AM115" s="785"/>
      <c r="AN115" s="785"/>
      <c r="AO115" s="785"/>
      <c r="AP115" s="785"/>
      <c r="AQ115" s="785"/>
      <c r="AR115" s="785"/>
      <c r="AS115" s="785"/>
      <c r="AT115" s="785"/>
      <c r="AU115" s="785"/>
      <c r="AV115" s="785"/>
      <c r="AW115" s="785"/>
      <c r="AX115" s="785"/>
      <c r="AY115" s="785"/>
      <c r="AZ115" s="785"/>
      <c r="BA115" s="785"/>
      <c r="BB115" s="785"/>
      <c r="BC115" s="785"/>
      <c r="BD115" s="785"/>
      <c r="BE115" s="785"/>
      <c r="BF115" s="785"/>
      <c r="BG115" s="785"/>
      <c r="BH115" s="785"/>
      <c r="BI115" s="785"/>
      <c r="BJ115" s="785"/>
      <c r="BK115" s="785"/>
      <c r="BL115" s="785"/>
      <c r="BM115" s="785"/>
      <c r="BN115" s="785"/>
      <c r="BO115" s="785"/>
      <c r="BP115" s="785"/>
      <c r="BQ115" s="785"/>
      <c r="BR115" s="785"/>
      <c r="BS115" s="785"/>
      <c r="BT115" s="785"/>
      <c r="BU115" s="785"/>
      <c r="BV115" s="785"/>
      <c r="BW115" s="785"/>
      <c r="BX115" s="785"/>
      <c r="BY115" s="785"/>
      <c r="BZ115" s="785"/>
    </row>
    <row r="116" spans="39:78" s="143" customFormat="1">
      <c r="AM116" s="785"/>
      <c r="AN116" s="785"/>
      <c r="AO116" s="785"/>
      <c r="AP116" s="785"/>
      <c r="AQ116" s="785"/>
      <c r="AR116" s="785"/>
      <c r="AS116" s="785"/>
      <c r="AT116" s="785"/>
      <c r="AU116" s="785"/>
      <c r="AV116" s="785"/>
      <c r="AW116" s="785"/>
      <c r="AX116" s="785"/>
      <c r="AY116" s="785"/>
      <c r="AZ116" s="785"/>
      <c r="BA116" s="785"/>
      <c r="BB116" s="785"/>
      <c r="BC116" s="785"/>
      <c r="BD116" s="785"/>
      <c r="BE116" s="785"/>
      <c r="BF116" s="785"/>
      <c r="BG116" s="785"/>
      <c r="BH116" s="785"/>
      <c r="BI116" s="785"/>
      <c r="BJ116" s="785"/>
      <c r="BK116" s="785"/>
      <c r="BL116" s="785"/>
      <c r="BM116" s="785"/>
      <c r="BN116" s="785"/>
      <c r="BO116" s="785"/>
      <c r="BP116" s="785"/>
      <c r="BQ116" s="785"/>
      <c r="BR116" s="785"/>
      <c r="BS116" s="785"/>
      <c r="BT116" s="785"/>
      <c r="BU116" s="785"/>
      <c r="BV116" s="785"/>
      <c r="BW116" s="785"/>
      <c r="BX116" s="785"/>
      <c r="BY116" s="785"/>
      <c r="BZ116" s="785"/>
    </row>
    <row r="117" spans="39:78" s="143" customFormat="1">
      <c r="AM117" s="785"/>
      <c r="AN117" s="785"/>
      <c r="AO117" s="785"/>
      <c r="AP117" s="785"/>
      <c r="AQ117" s="785"/>
      <c r="AR117" s="785"/>
      <c r="AS117" s="785"/>
      <c r="AT117" s="785"/>
      <c r="AU117" s="785"/>
      <c r="AV117" s="785"/>
      <c r="AW117" s="785"/>
      <c r="AX117" s="785"/>
      <c r="AY117" s="785"/>
      <c r="AZ117" s="785"/>
      <c r="BA117" s="785"/>
      <c r="BB117" s="785"/>
      <c r="BC117" s="785"/>
      <c r="BD117" s="785"/>
      <c r="BE117" s="785"/>
      <c r="BF117" s="785"/>
      <c r="BG117" s="785"/>
      <c r="BH117" s="785"/>
      <c r="BI117" s="785"/>
      <c r="BJ117" s="785"/>
      <c r="BK117" s="785"/>
      <c r="BL117" s="785"/>
      <c r="BM117" s="785"/>
      <c r="BN117" s="785"/>
      <c r="BO117" s="785"/>
      <c r="BP117" s="785"/>
      <c r="BQ117" s="785"/>
      <c r="BR117" s="785"/>
      <c r="BS117" s="785"/>
      <c r="BT117" s="785"/>
      <c r="BU117" s="785"/>
      <c r="BV117" s="785"/>
      <c r="BW117" s="785"/>
      <c r="BX117" s="785"/>
      <c r="BY117" s="785"/>
      <c r="BZ117" s="785"/>
    </row>
    <row r="118" spans="39:78" s="143" customFormat="1">
      <c r="AM118" s="785"/>
      <c r="AN118" s="785"/>
      <c r="AO118" s="785"/>
      <c r="AP118" s="785"/>
      <c r="AQ118" s="785"/>
      <c r="AR118" s="785"/>
      <c r="AS118" s="785"/>
      <c r="AT118" s="785"/>
      <c r="AU118" s="785"/>
      <c r="AV118" s="785"/>
      <c r="AW118" s="785"/>
      <c r="AX118" s="785"/>
      <c r="AY118" s="785"/>
      <c r="AZ118" s="785"/>
      <c r="BA118" s="785"/>
      <c r="BB118" s="785"/>
      <c r="BC118" s="785"/>
      <c r="BD118" s="785"/>
      <c r="BE118" s="785"/>
      <c r="BF118" s="785"/>
      <c r="BG118" s="785"/>
      <c r="BH118" s="785"/>
      <c r="BI118" s="785"/>
      <c r="BJ118" s="785"/>
      <c r="BK118" s="785"/>
      <c r="BL118" s="785"/>
      <c r="BM118" s="785"/>
      <c r="BN118" s="785"/>
      <c r="BO118" s="785"/>
      <c r="BP118" s="785"/>
      <c r="BQ118" s="785"/>
      <c r="BR118" s="785"/>
      <c r="BS118" s="785"/>
      <c r="BT118" s="785"/>
      <c r="BU118" s="785"/>
      <c r="BV118" s="785"/>
      <c r="BW118" s="785"/>
      <c r="BX118" s="785"/>
      <c r="BY118" s="785"/>
      <c r="BZ118" s="785"/>
    </row>
    <row r="119" spans="39:78" s="143" customFormat="1">
      <c r="AM119" s="785"/>
      <c r="AN119" s="785"/>
      <c r="AO119" s="785"/>
      <c r="AP119" s="785"/>
      <c r="AQ119" s="785"/>
      <c r="AR119" s="785"/>
      <c r="AS119" s="785"/>
      <c r="AT119" s="785"/>
      <c r="AU119" s="785"/>
      <c r="AV119" s="785"/>
      <c r="AW119" s="785"/>
      <c r="AX119" s="785"/>
      <c r="AY119" s="785"/>
      <c r="AZ119" s="785"/>
      <c r="BA119" s="785"/>
      <c r="BB119" s="785"/>
      <c r="BC119" s="785"/>
      <c r="BD119" s="785"/>
      <c r="BE119" s="785"/>
      <c r="BF119" s="785"/>
      <c r="BG119" s="785"/>
      <c r="BH119" s="785"/>
      <c r="BI119" s="785"/>
      <c r="BJ119" s="785"/>
      <c r="BK119" s="785"/>
      <c r="BL119" s="785"/>
      <c r="BM119" s="785"/>
      <c r="BN119" s="785"/>
      <c r="BO119" s="785"/>
      <c r="BP119" s="785"/>
      <c r="BQ119" s="785"/>
      <c r="BR119" s="785"/>
      <c r="BS119" s="785"/>
      <c r="BT119" s="785"/>
      <c r="BU119" s="785"/>
      <c r="BV119" s="785"/>
      <c r="BW119" s="785"/>
      <c r="BX119" s="785"/>
      <c r="BY119" s="785"/>
      <c r="BZ119" s="785"/>
    </row>
    <row r="120" spans="39:78" s="143" customFormat="1">
      <c r="AM120" s="785"/>
      <c r="AN120" s="785"/>
      <c r="AO120" s="785"/>
      <c r="AP120" s="785"/>
      <c r="AQ120" s="785"/>
      <c r="AR120" s="785"/>
      <c r="AS120" s="785"/>
      <c r="AT120" s="785"/>
      <c r="AU120" s="785"/>
      <c r="AV120" s="785"/>
      <c r="AW120" s="785"/>
      <c r="AX120" s="785"/>
      <c r="AY120" s="785"/>
      <c r="AZ120" s="785"/>
      <c r="BA120" s="785"/>
      <c r="BB120" s="785"/>
      <c r="BC120" s="785"/>
      <c r="BD120" s="785"/>
      <c r="BE120" s="785"/>
      <c r="BF120" s="785"/>
      <c r="BG120" s="785"/>
      <c r="BH120" s="785"/>
      <c r="BI120" s="785"/>
      <c r="BJ120" s="785"/>
      <c r="BK120" s="785"/>
      <c r="BL120" s="785"/>
      <c r="BM120" s="785"/>
      <c r="BN120" s="785"/>
      <c r="BO120" s="785"/>
      <c r="BP120" s="785"/>
      <c r="BQ120" s="785"/>
      <c r="BR120" s="785"/>
      <c r="BS120" s="785"/>
      <c r="BT120" s="785"/>
      <c r="BU120" s="785"/>
      <c r="BV120" s="785"/>
      <c r="BW120" s="785"/>
      <c r="BX120" s="785"/>
      <c r="BY120" s="785"/>
      <c r="BZ120" s="785"/>
    </row>
    <row r="121" spans="39:78" s="143" customFormat="1">
      <c r="AM121" s="785"/>
      <c r="AN121" s="785"/>
      <c r="AO121" s="785"/>
      <c r="AP121" s="785"/>
      <c r="AQ121" s="785"/>
      <c r="AR121" s="785"/>
      <c r="AS121" s="785"/>
      <c r="AT121" s="785"/>
      <c r="AU121" s="785"/>
      <c r="AV121" s="785"/>
      <c r="AW121" s="785"/>
      <c r="AX121" s="785"/>
      <c r="AY121" s="785"/>
      <c r="AZ121" s="785"/>
      <c r="BA121" s="785"/>
      <c r="BB121" s="785"/>
      <c r="BC121" s="785"/>
      <c r="BD121" s="785"/>
      <c r="BE121" s="785"/>
      <c r="BF121" s="785"/>
      <c r="BG121" s="785"/>
      <c r="BH121" s="785"/>
      <c r="BI121" s="785"/>
      <c r="BJ121" s="785"/>
      <c r="BK121" s="785"/>
      <c r="BL121" s="785"/>
      <c r="BM121" s="785"/>
      <c r="BN121" s="785"/>
      <c r="BO121" s="785"/>
      <c r="BP121" s="785"/>
      <c r="BQ121" s="785"/>
      <c r="BR121" s="785"/>
      <c r="BS121" s="785"/>
      <c r="BT121" s="785"/>
      <c r="BU121" s="785"/>
      <c r="BV121" s="785"/>
      <c r="BW121" s="785"/>
      <c r="BX121" s="785"/>
      <c r="BY121" s="785"/>
      <c r="BZ121" s="785"/>
    </row>
    <row r="122" spans="39:78" s="143" customFormat="1">
      <c r="AM122" s="785"/>
      <c r="AN122" s="785"/>
      <c r="AO122" s="785"/>
      <c r="AP122" s="785"/>
      <c r="AQ122" s="785"/>
      <c r="AR122" s="785"/>
      <c r="AS122" s="785"/>
      <c r="AT122" s="785"/>
      <c r="AU122" s="785"/>
      <c r="AV122" s="785"/>
      <c r="AW122" s="785"/>
      <c r="AX122" s="785"/>
      <c r="AY122" s="785"/>
      <c r="AZ122" s="785"/>
      <c r="BA122" s="785"/>
      <c r="BB122" s="785"/>
      <c r="BC122" s="785"/>
      <c r="BD122" s="785"/>
      <c r="BE122" s="785"/>
      <c r="BF122" s="785"/>
      <c r="BG122" s="785"/>
      <c r="BH122" s="785"/>
      <c r="BI122" s="785"/>
      <c r="BJ122" s="785"/>
      <c r="BK122" s="785"/>
      <c r="BL122" s="785"/>
      <c r="BM122" s="785"/>
      <c r="BN122" s="785"/>
      <c r="BO122" s="785"/>
      <c r="BP122" s="785"/>
      <c r="BQ122" s="785"/>
      <c r="BR122" s="785"/>
      <c r="BS122" s="785"/>
      <c r="BT122" s="785"/>
      <c r="BU122" s="785"/>
      <c r="BV122" s="785"/>
      <c r="BW122" s="785"/>
      <c r="BX122" s="785"/>
      <c r="BY122" s="785"/>
      <c r="BZ122" s="785"/>
    </row>
    <row r="123" spans="39:78" s="143" customFormat="1">
      <c r="AM123" s="785"/>
      <c r="AN123" s="785"/>
      <c r="AO123" s="785"/>
      <c r="AP123" s="785"/>
      <c r="AQ123" s="785"/>
      <c r="AR123" s="785"/>
      <c r="AS123" s="785"/>
      <c r="AT123" s="785"/>
      <c r="AU123" s="785"/>
      <c r="AV123" s="785"/>
      <c r="AW123" s="785"/>
      <c r="AX123" s="785"/>
      <c r="AY123" s="785"/>
      <c r="AZ123" s="785"/>
      <c r="BA123" s="785"/>
      <c r="BB123" s="785"/>
      <c r="BC123" s="785"/>
      <c r="BD123" s="785"/>
      <c r="BE123" s="785"/>
      <c r="BF123" s="785"/>
      <c r="BG123" s="785"/>
      <c r="BH123" s="785"/>
      <c r="BI123" s="785"/>
      <c r="BJ123" s="785"/>
      <c r="BK123" s="785"/>
      <c r="BL123" s="785"/>
      <c r="BM123" s="785"/>
      <c r="BN123" s="785"/>
      <c r="BO123" s="785"/>
      <c r="BP123" s="785"/>
      <c r="BQ123" s="785"/>
      <c r="BR123" s="785"/>
      <c r="BS123" s="785"/>
      <c r="BT123" s="785"/>
      <c r="BU123" s="785"/>
      <c r="BV123" s="785"/>
      <c r="BW123" s="785"/>
      <c r="BX123" s="785"/>
      <c r="BY123" s="785"/>
      <c r="BZ123" s="785"/>
    </row>
    <row r="124" spans="39:78" s="143" customFormat="1">
      <c r="AM124" s="785"/>
      <c r="AN124" s="785"/>
      <c r="AO124" s="785"/>
      <c r="AP124" s="785"/>
      <c r="AQ124" s="785"/>
      <c r="AR124" s="785"/>
      <c r="AS124" s="785"/>
      <c r="AT124" s="785"/>
      <c r="AU124" s="785"/>
      <c r="AV124" s="785"/>
      <c r="AW124" s="785"/>
      <c r="AX124" s="785"/>
      <c r="AY124" s="785"/>
      <c r="AZ124" s="785"/>
      <c r="BA124" s="785"/>
      <c r="BB124" s="785"/>
      <c r="BC124" s="785"/>
      <c r="BD124" s="785"/>
      <c r="BE124" s="785"/>
      <c r="BF124" s="785"/>
      <c r="BG124" s="785"/>
      <c r="BH124" s="785"/>
      <c r="BI124" s="785"/>
      <c r="BJ124" s="785"/>
      <c r="BK124" s="785"/>
      <c r="BL124" s="785"/>
      <c r="BM124" s="785"/>
      <c r="BN124" s="785"/>
      <c r="BO124" s="785"/>
      <c r="BP124" s="785"/>
      <c r="BQ124" s="785"/>
      <c r="BR124" s="785"/>
      <c r="BS124" s="785"/>
      <c r="BT124" s="785"/>
      <c r="BU124" s="785"/>
      <c r="BV124" s="785"/>
      <c r="BW124" s="785"/>
      <c r="BX124" s="785"/>
      <c r="BY124" s="785"/>
      <c r="BZ124" s="785"/>
    </row>
    <row r="125" spans="39:78" s="143" customFormat="1">
      <c r="AM125" s="785"/>
      <c r="AN125" s="785"/>
      <c r="AO125" s="785"/>
      <c r="AP125" s="785"/>
      <c r="AQ125" s="785"/>
      <c r="AR125" s="785"/>
      <c r="AS125" s="785"/>
      <c r="AT125" s="785"/>
      <c r="AU125" s="785"/>
      <c r="AV125" s="785"/>
      <c r="AW125" s="785"/>
      <c r="AX125" s="785"/>
      <c r="AY125" s="785"/>
      <c r="AZ125" s="785"/>
      <c r="BA125" s="785"/>
      <c r="BB125" s="785"/>
      <c r="BC125" s="785"/>
      <c r="BD125" s="785"/>
      <c r="BE125" s="785"/>
      <c r="BF125" s="785"/>
      <c r="BG125" s="785"/>
      <c r="BH125" s="785"/>
      <c r="BI125" s="785"/>
      <c r="BJ125" s="785"/>
      <c r="BK125" s="785"/>
      <c r="BL125" s="785"/>
      <c r="BM125" s="785"/>
      <c r="BN125" s="785"/>
      <c r="BO125" s="785"/>
      <c r="BP125" s="785"/>
      <c r="BQ125" s="785"/>
      <c r="BR125" s="785"/>
      <c r="BS125" s="785"/>
      <c r="BT125" s="785"/>
      <c r="BU125" s="785"/>
      <c r="BV125" s="785"/>
      <c r="BW125" s="785"/>
      <c r="BX125" s="785"/>
      <c r="BY125" s="785"/>
      <c r="BZ125" s="785"/>
    </row>
    <row r="126" spans="39:78" s="143" customFormat="1">
      <c r="AM126" s="785"/>
      <c r="AN126" s="785"/>
      <c r="AO126" s="785"/>
      <c r="AP126" s="785"/>
      <c r="AQ126" s="785"/>
      <c r="AR126" s="785"/>
      <c r="AS126" s="785"/>
      <c r="AT126" s="785"/>
      <c r="AU126" s="785"/>
      <c r="AV126" s="785"/>
      <c r="AW126" s="785"/>
      <c r="AX126" s="785"/>
      <c r="AY126" s="785"/>
      <c r="AZ126" s="785"/>
      <c r="BA126" s="785"/>
      <c r="BB126" s="785"/>
      <c r="BC126" s="785"/>
      <c r="BD126" s="785"/>
      <c r="BE126" s="785"/>
      <c r="BF126" s="785"/>
      <c r="BG126" s="785"/>
      <c r="BH126" s="785"/>
      <c r="BI126" s="785"/>
      <c r="BJ126" s="785"/>
      <c r="BK126" s="785"/>
      <c r="BL126" s="785"/>
      <c r="BM126" s="785"/>
      <c r="BN126" s="785"/>
      <c r="BO126" s="785"/>
      <c r="BP126" s="785"/>
      <c r="BQ126" s="785"/>
      <c r="BR126" s="785"/>
      <c r="BS126" s="785"/>
      <c r="BT126" s="785"/>
      <c r="BU126" s="785"/>
      <c r="BV126" s="785"/>
      <c r="BW126" s="785"/>
      <c r="BX126" s="785"/>
      <c r="BY126" s="785"/>
      <c r="BZ126" s="785"/>
    </row>
    <row r="127" spans="39:78" s="143" customFormat="1">
      <c r="AM127" s="785"/>
      <c r="AN127" s="785"/>
      <c r="AO127" s="785"/>
      <c r="AP127" s="785"/>
      <c r="AQ127" s="785"/>
      <c r="AR127" s="785"/>
      <c r="AS127" s="785"/>
      <c r="AT127" s="785"/>
      <c r="AU127" s="785"/>
      <c r="AV127" s="785"/>
      <c r="AW127" s="785"/>
      <c r="AX127" s="785"/>
      <c r="AY127" s="785"/>
      <c r="AZ127" s="785"/>
      <c r="BA127" s="785"/>
      <c r="BB127" s="785"/>
      <c r="BC127" s="785"/>
      <c r="BD127" s="785"/>
      <c r="BE127" s="785"/>
      <c r="BF127" s="785"/>
      <c r="BG127" s="785"/>
      <c r="BH127" s="785"/>
      <c r="BI127" s="785"/>
      <c r="BJ127" s="785"/>
      <c r="BK127" s="785"/>
      <c r="BL127" s="785"/>
      <c r="BM127" s="785"/>
      <c r="BN127" s="785"/>
      <c r="BO127" s="785"/>
      <c r="BP127" s="785"/>
      <c r="BQ127" s="785"/>
      <c r="BR127" s="785"/>
      <c r="BS127" s="785"/>
      <c r="BT127" s="785"/>
      <c r="BU127" s="785"/>
      <c r="BV127" s="785"/>
      <c r="BW127" s="785"/>
      <c r="BX127" s="785"/>
      <c r="BY127" s="785"/>
      <c r="BZ127" s="785"/>
    </row>
    <row r="128" spans="39:78" s="143" customFormat="1">
      <c r="AM128" s="785"/>
      <c r="AN128" s="785"/>
      <c r="AO128" s="785"/>
      <c r="AP128" s="785"/>
      <c r="AQ128" s="785"/>
      <c r="AR128" s="785"/>
      <c r="AS128" s="785"/>
      <c r="AT128" s="785"/>
      <c r="AU128" s="785"/>
      <c r="AV128" s="785"/>
      <c r="AW128" s="785"/>
      <c r="AX128" s="785"/>
      <c r="AY128" s="785"/>
      <c r="AZ128" s="785"/>
      <c r="BA128" s="785"/>
      <c r="BB128" s="785"/>
      <c r="BC128" s="785"/>
      <c r="BD128" s="785"/>
      <c r="BE128" s="785"/>
      <c r="BF128" s="785"/>
      <c r="BG128" s="785"/>
      <c r="BH128" s="785"/>
      <c r="BI128" s="785"/>
      <c r="BJ128" s="785"/>
      <c r="BK128" s="785"/>
      <c r="BL128" s="785"/>
      <c r="BM128" s="785"/>
      <c r="BN128" s="785"/>
      <c r="BO128" s="785"/>
      <c r="BP128" s="785"/>
      <c r="BQ128" s="785"/>
      <c r="BR128" s="785"/>
      <c r="BS128" s="785"/>
      <c r="BT128" s="785"/>
      <c r="BU128" s="785"/>
      <c r="BV128" s="785"/>
      <c r="BW128" s="785"/>
      <c r="BX128" s="785"/>
      <c r="BY128" s="785"/>
      <c r="BZ128" s="785"/>
    </row>
    <row r="129" spans="39:78" s="143" customFormat="1">
      <c r="AM129" s="785"/>
      <c r="AN129" s="785"/>
      <c r="AO129" s="785"/>
      <c r="AP129" s="785"/>
      <c r="AQ129" s="785"/>
      <c r="AR129" s="785"/>
      <c r="AS129" s="785"/>
      <c r="AT129" s="785"/>
      <c r="AU129" s="785"/>
      <c r="AV129" s="785"/>
      <c r="AW129" s="785"/>
      <c r="AX129" s="785"/>
      <c r="AY129" s="785"/>
      <c r="AZ129" s="785"/>
      <c r="BA129" s="785"/>
      <c r="BB129" s="785"/>
      <c r="BC129" s="785"/>
      <c r="BD129" s="785"/>
      <c r="BE129" s="785"/>
      <c r="BF129" s="785"/>
      <c r="BG129" s="785"/>
      <c r="BH129" s="785"/>
      <c r="BI129" s="785"/>
      <c r="BJ129" s="785"/>
      <c r="BK129" s="785"/>
      <c r="BL129" s="785"/>
      <c r="BM129" s="785"/>
      <c r="BN129" s="785"/>
      <c r="BO129" s="785"/>
      <c r="BP129" s="785"/>
      <c r="BQ129" s="785"/>
      <c r="BR129" s="785"/>
      <c r="BS129" s="785"/>
      <c r="BT129" s="785"/>
      <c r="BU129" s="785"/>
      <c r="BV129" s="785"/>
      <c r="BW129" s="785"/>
      <c r="BX129" s="785"/>
      <c r="BY129" s="785"/>
      <c r="BZ129" s="785"/>
    </row>
    <row r="130" spans="39:78" s="143" customFormat="1">
      <c r="AM130" s="785"/>
      <c r="AN130" s="785"/>
      <c r="AO130" s="785"/>
      <c r="AP130" s="785"/>
      <c r="AQ130" s="785"/>
      <c r="AR130" s="785"/>
      <c r="AS130" s="785"/>
      <c r="AT130" s="785"/>
      <c r="AU130" s="785"/>
      <c r="AV130" s="785"/>
      <c r="AW130" s="785"/>
      <c r="AX130" s="785"/>
      <c r="AY130" s="785"/>
      <c r="AZ130" s="785"/>
      <c r="BA130" s="785"/>
      <c r="BB130" s="785"/>
      <c r="BC130" s="785"/>
      <c r="BD130" s="785"/>
      <c r="BE130" s="785"/>
      <c r="BF130" s="785"/>
      <c r="BG130" s="785"/>
      <c r="BH130" s="785"/>
      <c r="BI130" s="785"/>
      <c r="BJ130" s="785"/>
      <c r="BK130" s="785"/>
      <c r="BL130" s="785"/>
      <c r="BM130" s="785"/>
      <c r="BN130" s="785"/>
      <c r="BO130" s="785"/>
      <c r="BP130" s="785"/>
      <c r="BQ130" s="785"/>
      <c r="BR130" s="785"/>
      <c r="BS130" s="785"/>
      <c r="BT130" s="785"/>
      <c r="BU130" s="785"/>
      <c r="BV130" s="785"/>
      <c r="BW130" s="785"/>
      <c r="BX130" s="785"/>
      <c r="BY130" s="785"/>
      <c r="BZ130" s="785"/>
    </row>
    <row r="131" spans="39:78" s="143" customFormat="1">
      <c r="AM131" s="785"/>
      <c r="AN131" s="785"/>
      <c r="AO131" s="785"/>
      <c r="AP131" s="785"/>
      <c r="AQ131" s="785"/>
      <c r="AR131" s="785"/>
      <c r="AS131" s="785"/>
      <c r="AT131" s="785"/>
      <c r="AU131" s="785"/>
      <c r="AV131" s="785"/>
      <c r="AW131" s="785"/>
      <c r="AX131" s="785"/>
      <c r="AY131" s="785"/>
      <c r="AZ131" s="785"/>
      <c r="BA131" s="785"/>
      <c r="BB131" s="785"/>
      <c r="BC131" s="785"/>
      <c r="BD131" s="785"/>
      <c r="BE131" s="785"/>
      <c r="BF131" s="785"/>
      <c r="BG131" s="785"/>
      <c r="BH131" s="785"/>
      <c r="BI131" s="785"/>
      <c r="BJ131" s="785"/>
      <c r="BK131" s="785"/>
      <c r="BL131" s="785"/>
      <c r="BM131" s="785"/>
      <c r="BN131" s="785"/>
      <c r="BO131" s="785"/>
      <c r="BP131" s="785"/>
      <c r="BQ131" s="785"/>
      <c r="BR131" s="785"/>
      <c r="BS131" s="785"/>
      <c r="BT131" s="785"/>
      <c r="BU131" s="785"/>
      <c r="BV131" s="785"/>
      <c r="BW131" s="785"/>
      <c r="BX131" s="785"/>
      <c r="BY131" s="785"/>
      <c r="BZ131" s="785"/>
    </row>
    <row r="132" spans="39:78" s="143" customFormat="1">
      <c r="AM132" s="785"/>
      <c r="AN132" s="785"/>
      <c r="AO132" s="785"/>
      <c r="AP132" s="785"/>
      <c r="AQ132" s="785"/>
      <c r="AR132" s="785"/>
      <c r="AS132" s="785"/>
      <c r="AT132" s="785"/>
      <c r="AU132" s="785"/>
      <c r="AV132" s="785"/>
      <c r="AW132" s="785"/>
      <c r="AX132" s="785"/>
      <c r="AY132" s="785"/>
      <c r="AZ132" s="785"/>
      <c r="BA132" s="785"/>
      <c r="BB132" s="785"/>
      <c r="BC132" s="785"/>
      <c r="BD132" s="785"/>
      <c r="BE132" s="785"/>
      <c r="BF132" s="785"/>
      <c r="BG132" s="785"/>
      <c r="BH132" s="785"/>
      <c r="BI132" s="785"/>
      <c r="BJ132" s="785"/>
      <c r="BK132" s="785"/>
      <c r="BL132" s="785"/>
      <c r="BM132" s="785"/>
      <c r="BN132" s="785"/>
      <c r="BO132" s="785"/>
      <c r="BP132" s="785"/>
      <c r="BQ132" s="785"/>
      <c r="BR132" s="785"/>
      <c r="BS132" s="785"/>
      <c r="BT132" s="785"/>
      <c r="BU132" s="785"/>
      <c r="BV132" s="785"/>
      <c r="BW132" s="785"/>
      <c r="BX132" s="785"/>
      <c r="BY132" s="785"/>
      <c r="BZ132" s="785"/>
    </row>
    <row r="133" spans="39:78" s="143" customFormat="1">
      <c r="AM133" s="785"/>
      <c r="AN133" s="785"/>
      <c r="AO133" s="785"/>
      <c r="AP133" s="785"/>
      <c r="AQ133" s="785"/>
      <c r="AR133" s="785"/>
      <c r="AS133" s="785"/>
      <c r="AT133" s="785"/>
      <c r="AU133" s="785"/>
      <c r="AV133" s="785"/>
      <c r="AW133" s="785"/>
      <c r="AX133" s="785"/>
      <c r="AY133" s="785"/>
      <c r="AZ133" s="785"/>
      <c r="BA133" s="785"/>
      <c r="BB133" s="785"/>
      <c r="BC133" s="785"/>
      <c r="BD133" s="785"/>
      <c r="BE133" s="785"/>
      <c r="BF133" s="785"/>
      <c r="BG133" s="785"/>
      <c r="BH133" s="785"/>
      <c r="BI133" s="785"/>
      <c r="BJ133" s="785"/>
      <c r="BK133" s="785"/>
      <c r="BL133" s="785"/>
      <c r="BM133" s="785"/>
      <c r="BN133" s="785"/>
      <c r="BO133" s="785"/>
      <c r="BP133" s="785"/>
      <c r="BQ133" s="785"/>
      <c r="BR133" s="785"/>
      <c r="BS133" s="785"/>
      <c r="BT133" s="785"/>
      <c r="BU133" s="785"/>
      <c r="BV133" s="785"/>
      <c r="BW133" s="785"/>
      <c r="BX133" s="785"/>
      <c r="BY133" s="785"/>
      <c r="BZ133" s="785"/>
    </row>
    <row r="134" spans="39:78" s="143" customFormat="1">
      <c r="AM134" s="785"/>
      <c r="AN134" s="785"/>
      <c r="AO134" s="785"/>
      <c r="AP134" s="785"/>
      <c r="AQ134" s="785"/>
      <c r="AR134" s="785"/>
      <c r="AS134" s="785"/>
      <c r="AT134" s="785"/>
      <c r="AU134" s="785"/>
      <c r="AV134" s="785"/>
      <c r="AW134" s="785"/>
      <c r="AX134" s="785"/>
      <c r="AY134" s="785"/>
      <c r="AZ134" s="785"/>
      <c r="BA134" s="785"/>
      <c r="BB134" s="785"/>
      <c r="BC134" s="785"/>
      <c r="BD134" s="785"/>
      <c r="BE134" s="785"/>
      <c r="BF134" s="785"/>
      <c r="BG134" s="785"/>
      <c r="BH134" s="785"/>
      <c r="BI134" s="785"/>
      <c r="BJ134" s="785"/>
      <c r="BK134" s="785"/>
      <c r="BL134" s="785"/>
      <c r="BM134" s="785"/>
      <c r="BN134" s="785"/>
      <c r="BO134" s="785"/>
      <c r="BP134" s="785"/>
      <c r="BQ134" s="785"/>
      <c r="BR134" s="785"/>
      <c r="BS134" s="785"/>
      <c r="BT134" s="785"/>
      <c r="BU134" s="785"/>
      <c r="BV134" s="785"/>
      <c r="BW134" s="785"/>
      <c r="BX134" s="785"/>
      <c r="BY134" s="785"/>
      <c r="BZ134" s="785"/>
    </row>
    <row r="135" spans="39:78" s="143" customFormat="1">
      <c r="AM135" s="785"/>
      <c r="AN135" s="785"/>
      <c r="AO135" s="785"/>
      <c r="AP135" s="785"/>
      <c r="AQ135" s="785"/>
      <c r="AR135" s="785"/>
      <c r="AS135" s="785"/>
      <c r="AT135" s="785"/>
      <c r="AU135" s="785"/>
      <c r="AV135" s="785"/>
      <c r="AW135" s="785"/>
      <c r="AX135" s="785"/>
      <c r="AY135" s="785"/>
      <c r="AZ135" s="785"/>
      <c r="BA135" s="785"/>
      <c r="BB135" s="785"/>
      <c r="BC135" s="785"/>
      <c r="BD135" s="785"/>
      <c r="BE135" s="785"/>
      <c r="BF135" s="785"/>
      <c r="BG135" s="785"/>
      <c r="BH135" s="785"/>
      <c r="BI135" s="785"/>
      <c r="BJ135" s="785"/>
      <c r="BK135" s="785"/>
      <c r="BL135" s="785"/>
      <c r="BM135" s="785"/>
      <c r="BN135" s="785"/>
      <c r="BO135" s="785"/>
      <c r="BP135" s="785"/>
      <c r="BQ135" s="785"/>
      <c r="BR135" s="785"/>
      <c r="BS135" s="785"/>
      <c r="BT135" s="785"/>
      <c r="BU135" s="785"/>
      <c r="BV135" s="785"/>
      <c r="BW135" s="785"/>
      <c r="BX135" s="785"/>
      <c r="BY135" s="785"/>
      <c r="BZ135" s="785"/>
    </row>
    <row r="136" spans="39:78" s="143" customFormat="1">
      <c r="AM136" s="785"/>
      <c r="AN136" s="785"/>
      <c r="AO136" s="785"/>
      <c r="AP136" s="785"/>
      <c r="AQ136" s="785"/>
      <c r="AR136" s="785"/>
      <c r="AS136" s="785"/>
      <c r="AT136" s="785"/>
      <c r="AU136" s="785"/>
      <c r="AV136" s="785"/>
      <c r="AW136" s="785"/>
      <c r="AX136" s="785"/>
      <c r="AY136" s="785"/>
      <c r="AZ136" s="785"/>
      <c r="BA136" s="785"/>
      <c r="BB136" s="785"/>
      <c r="BC136" s="785"/>
      <c r="BD136" s="785"/>
      <c r="BE136" s="785"/>
      <c r="BF136" s="785"/>
      <c r="BG136" s="785"/>
      <c r="BH136" s="785"/>
      <c r="BI136" s="785"/>
      <c r="BJ136" s="785"/>
      <c r="BK136" s="785"/>
      <c r="BL136" s="785"/>
      <c r="BM136" s="785"/>
      <c r="BN136" s="785"/>
      <c r="BO136" s="785"/>
      <c r="BP136" s="785"/>
      <c r="BQ136" s="785"/>
      <c r="BR136" s="785"/>
      <c r="BS136" s="785"/>
      <c r="BT136" s="785"/>
      <c r="BU136" s="785"/>
      <c r="BV136" s="785"/>
      <c r="BW136" s="785"/>
      <c r="BX136" s="785"/>
      <c r="BY136" s="785"/>
      <c r="BZ136" s="785"/>
    </row>
    <row r="137" spans="39:78" s="143" customFormat="1">
      <c r="AM137" s="785"/>
      <c r="AN137" s="785"/>
      <c r="AO137" s="785"/>
      <c r="AP137" s="785"/>
      <c r="AQ137" s="785"/>
      <c r="AR137" s="785"/>
      <c r="AS137" s="785"/>
      <c r="AT137" s="785"/>
      <c r="AU137" s="785"/>
      <c r="AV137" s="785"/>
      <c r="AW137" s="785"/>
      <c r="AX137" s="785"/>
      <c r="AY137" s="785"/>
      <c r="AZ137" s="785"/>
      <c r="BA137" s="785"/>
      <c r="BB137" s="785"/>
      <c r="BC137" s="785"/>
      <c r="BD137" s="785"/>
      <c r="BE137" s="785"/>
      <c r="BF137" s="785"/>
      <c r="BG137" s="785"/>
      <c r="BH137" s="785"/>
      <c r="BI137" s="785"/>
      <c r="BJ137" s="785"/>
      <c r="BK137" s="785"/>
      <c r="BL137" s="785"/>
      <c r="BM137" s="785"/>
      <c r="BN137" s="785"/>
      <c r="BO137" s="785"/>
      <c r="BP137" s="785"/>
      <c r="BQ137" s="785"/>
      <c r="BR137" s="785"/>
      <c r="BS137" s="785"/>
      <c r="BT137" s="785"/>
      <c r="BU137" s="785"/>
      <c r="BV137" s="785"/>
      <c r="BW137" s="785"/>
      <c r="BX137" s="785"/>
      <c r="BY137" s="785"/>
      <c r="BZ137" s="785"/>
    </row>
    <row r="138" spans="39:78" s="143" customFormat="1">
      <c r="AM138" s="785"/>
      <c r="AN138" s="785"/>
      <c r="AO138" s="785"/>
      <c r="AP138" s="785"/>
      <c r="AQ138" s="785"/>
      <c r="AR138" s="785"/>
      <c r="AS138" s="785"/>
      <c r="AT138" s="785"/>
      <c r="AU138" s="785"/>
      <c r="AV138" s="785"/>
      <c r="AW138" s="785"/>
      <c r="AX138" s="785"/>
      <c r="AY138" s="785"/>
      <c r="AZ138" s="785"/>
      <c r="BA138" s="785"/>
      <c r="BB138" s="785"/>
      <c r="BC138" s="785"/>
      <c r="BD138" s="785"/>
      <c r="BE138" s="785"/>
      <c r="BF138" s="785"/>
      <c r="BG138" s="785"/>
      <c r="BH138" s="785"/>
      <c r="BI138" s="785"/>
      <c r="BJ138" s="785"/>
      <c r="BK138" s="785"/>
      <c r="BL138" s="785"/>
      <c r="BM138" s="785"/>
      <c r="BN138" s="785"/>
      <c r="BO138" s="785"/>
      <c r="BP138" s="785"/>
      <c r="BQ138" s="785"/>
      <c r="BR138" s="785"/>
      <c r="BS138" s="785"/>
      <c r="BT138" s="785"/>
      <c r="BU138" s="785"/>
      <c r="BV138" s="785"/>
      <c r="BW138" s="785"/>
      <c r="BX138" s="785"/>
      <c r="BY138" s="785"/>
      <c r="BZ138" s="785"/>
    </row>
    <row r="139" spans="39:78" s="143" customFormat="1">
      <c r="AM139" s="785"/>
      <c r="AN139" s="785"/>
      <c r="AO139" s="785"/>
      <c r="AP139" s="785"/>
      <c r="AQ139" s="785"/>
      <c r="AR139" s="785"/>
      <c r="AS139" s="785"/>
      <c r="AT139" s="785"/>
      <c r="AU139" s="785"/>
      <c r="AV139" s="785"/>
      <c r="AW139" s="785"/>
      <c r="AX139" s="785"/>
      <c r="AY139" s="785"/>
      <c r="AZ139" s="785"/>
      <c r="BA139" s="785"/>
      <c r="BB139" s="785"/>
      <c r="BC139" s="785"/>
      <c r="BD139" s="785"/>
      <c r="BE139" s="785"/>
      <c r="BF139" s="785"/>
      <c r="BG139" s="785"/>
      <c r="BH139" s="785"/>
      <c r="BI139" s="785"/>
      <c r="BJ139" s="785"/>
      <c r="BK139" s="785"/>
      <c r="BL139" s="785"/>
      <c r="BM139" s="785"/>
      <c r="BN139" s="785"/>
      <c r="BO139" s="785"/>
      <c r="BP139" s="785"/>
      <c r="BQ139" s="785"/>
      <c r="BR139" s="785"/>
      <c r="BS139" s="785"/>
      <c r="BT139" s="785"/>
      <c r="BU139" s="785"/>
      <c r="BV139" s="785"/>
      <c r="BW139" s="785"/>
      <c r="BX139" s="785"/>
      <c r="BY139" s="785"/>
      <c r="BZ139" s="785"/>
    </row>
    <row r="140" spans="39:78" s="143" customFormat="1">
      <c r="AM140" s="785"/>
      <c r="AN140" s="785"/>
      <c r="AO140" s="785"/>
      <c r="AP140" s="785"/>
      <c r="AQ140" s="785"/>
      <c r="AR140" s="785"/>
      <c r="AS140" s="785"/>
      <c r="AT140" s="785"/>
      <c r="AU140" s="785"/>
      <c r="AV140" s="785"/>
      <c r="AW140" s="785"/>
      <c r="AX140" s="785"/>
      <c r="AY140" s="785"/>
      <c r="AZ140" s="785"/>
      <c r="BA140" s="785"/>
      <c r="BB140" s="785"/>
      <c r="BC140" s="785"/>
      <c r="BD140" s="785"/>
      <c r="BE140" s="785"/>
      <c r="BF140" s="785"/>
      <c r="BG140" s="785"/>
      <c r="BH140" s="785"/>
      <c r="BI140" s="785"/>
      <c r="BJ140" s="785"/>
      <c r="BK140" s="785"/>
      <c r="BL140" s="785"/>
      <c r="BM140" s="785"/>
      <c r="BN140" s="785"/>
      <c r="BO140" s="785"/>
      <c r="BP140" s="785"/>
      <c r="BQ140" s="785"/>
      <c r="BR140" s="785"/>
      <c r="BS140" s="785"/>
      <c r="BT140" s="785"/>
      <c r="BU140" s="785"/>
      <c r="BV140" s="785"/>
      <c r="BW140" s="785"/>
      <c r="BX140" s="785"/>
      <c r="BY140" s="785"/>
      <c r="BZ140" s="785"/>
    </row>
    <row r="141" spans="39:78" s="143" customFormat="1">
      <c r="AM141" s="785"/>
      <c r="AN141" s="785"/>
      <c r="AO141" s="785"/>
      <c r="AP141" s="785"/>
      <c r="AQ141" s="785"/>
      <c r="AR141" s="785"/>
      <c r="AS141" s="785"/>
      <c r="AT141" s="785"/>
      <c r="AU141" s="785"/>
      <c r="AV141" s="785"/>
      <c r="AW141" s="785"/>
      <c r="AX141" s="785"/>
      <c r="AY141" s="785"/>
      <c r="AZ141" s="785"/>
      <c r="BA141" s="785"/>
      <c r="BB141" s="785"/>
      <c r="BC141" s="785"/>
      <c r="BD141" s="785"/>
      <c r="BE141" s="785"/>
      <c r="BF141" s="785"/>
      <c r="BG141" s="785"/>
      <c r="BH141" s="785"/>
      <c r="BI141" s="785"/>
      <c r="BJ141" s="785"/>
      <c r="BK141" s="785"/>
      <c r="BL141" s="785"/>
      <c r="BM141" s="785"/>
      <c r="BN141" s="785"/>
      <c r="BO141" s="785"/>
      <c r="BP141" s="785"/>
      <c r="BQ141" s="785"/>
      <c r="BR141" s="785"/>
      <c r="BS141" s="785"/>
      <c r="BT141" s="785"/>
      <c r="BU141" s="785"/>
      <c r="BV141" s="785"/>
      <c r="BW141" s="785"/>
      <c r="BX141" s="785"/>
      <c r="BY141" s="785"/>
      <c r="BZ141" s="785"/>
    </row>
    <row r="142" spans="39:78" s="143" customFormat="1">
      <c r="AM142" s="785"/>
      <c r="AN142" s="785"/>
      <c r="AO142" s="785"/>
      <c r="AP142" s="785"/>
      <c r="AQ142" s="785"/>
      <c r="AR142" s="785"/>
      <c r="AS142" s="785"/>
      <c r="AT142" s="785"/>
      <c r="AU142" s="785"/>
      <c r="AV142" s="785"/>
      <c r="AW142" s="785"/>
      <c r="AX142" s="785"/>
      <c r="AY142" s="785"/>
      <c r="AZ142" s="785"/>
      <c r="BA142" s="785"/>
      <c r="BB142" s="785"/>
      <c r="BC142" s="785"/>
      <c r="BD142" s="785"/>
      <c r="BE142" s="785"/>
      <c r="BF142" s="785"/>
      <c r="BG142" s="785"/>
      <c r="BH142" s="785"/>
      <c r="BI142" s="785"/>
      <c r="BJ142" s="785"/>
      <c r="BK142" s="785"/>
      <c r="BL142" s="785"/>
      <c r="BM142" s="785"/>
      <c r="BN142" s="785"/>
      <c r="BO142" s="785"/>
      <c r="BP142" s="785"/>
      <c r="BQ142" s="785"/>
      <c r="BR142" s="785"/>
      <c r="BS142" s="785"/>
      <c r="BT142" s="785"/>
      <c r="BU142" s="785"/>
      <c r="BV142" s="785"/>
      <c r="BW142" s="785"/>
      <c r="BX142" s="785"/>
      <c r="BY142" s="785"/>
      <c r="BZ142" s="785"/>
    </row>
    <row r="143" spans="39:78" s="143" customFormat="1">
      <c r="AM143" s="785"/>
      <c r="AN143" s="785"/>
      <c r="AO143" s="785"/>
      <c r="AP143" s="785"/>
      <c r="AQ143" s="785"/>
      <c r="AR143" s="785"/>
      <c r="AS143" s="785"/>
      <c r="AT143" s="785"/>
      <c r="AU143" s="785"/>
      <c r="AV143" s="785"/>
      <c r="AW143" s="785"/>
      <c r="AX143" s="785"/>
      <c r="AY143" s="785"/>
      <c r="AZ143" s="785"/>
      <c r="BA143" s="785"/>
      <c r="BB143" s="785"/>
      <c r="BC143" s="785"/>
      <c r="BD143" s="785"/>
      <c r="BE143" s="785"/>
      <c r="BF143" s="785"/>
      <c r="BG143" s="785"/>
      <c r="BH143" s="785"/>
      <c r="BI143" s="785"/>
      <c r="BJ143" s="785"/>
      <c r="BK143" s="785"/>
      <c r="BL143" s="785"/>
      <c r="BM143" s="785"/>
      <c r="BN143" s="785"/>
      <c r="BO143" s="785"/>
      <c r="BP143" s="785"/>
      <c r="BQ143" s="785"/>
      <c r="BR143" s="785"/>
      <c r="BS143" s="785"/>
      <c r="BT143" s="785"/>
      <c r="BU143" s="785"/>
      <c r="BV143" s="785"/>
      <c r="BW143" s="785"/>
      <c r="BX143" s="785"/>
      <c r="BY143" s="785"/>
      <c r="BZ143" s="785"/>
    </row>
    <row r="144" spans="39:78" s="143" customFormat="1">
      <c r="AM144" s="785"/>
      <c r="AN144" s="785"/>
      <c r="AO144" s="785"/>
      <c r="AP144" s="785"/>
      <c r="AQ144" s="785"/>
      <c r="AR144" s="785"/>
      <c r="AS144" s="785"/>
      <c r="AT144" s="785"/>
      <c r="AU144" s="785"/>
      <c r="AV144" s="785"/>
      <c r="AW144" s="785"/>
      <c r="AX144" s="785"/>
      <c r="AY144" s="785"/>
      <c r="AZ144" s="785"/>
      <c r="BA144" s="785"/>
      <c r="BB144" s="785"/>
      <c r="BC144" s="785"/>
      <c r="BD144" s="785"/>
      <c r="BE144" s="785"/>
      <c r="BF144" s="785"/>
      <c r="BG144" s="785"/>
      <c r="BH144" s="785"/>
      <c r="BI144" s="785"/>
      <c r="BJ144" s="785"/>
      <c r="BK144" s="785"/>
      <c r="BL144" s="785"/>
      <c r="BM144" s="785"/>
      <c r="BN144" s="785"/>
      <c r="BO144" s="785"/>
      <c r="BP144" s="785"/>
      <c r="BQ144" s="785"/>
      <c r="BR144" s="785"/>
      <c r="BS144" s="785"/>
      <c r="BT144" s="785"/>
      <c r="BU144" s="785"/>
      <c r="BV144" s="785"/>
      <c r="BW144" s="785"/>
      <c r="BX144" s="785"/>
      <c r="BY144" s="785"/>
      <c r="BZ144" s="785"/>
    </row>
    <row r="145" spans="39:78" s="143" customFormat="1">
      <c r="AM145" s="785"/>
      <c r="AN145" s="785"/>
      <c r="AO145" s="785"/>
      <c r="AP145" s="785"/>
      <c r="AQ145" s="785"/>
      <c r="AR145" s="785"/>
      <c r="AS145" s="785"/>
      <c r="AT145" s="785"/>
      <c r="AU145" s="785"/>
      <c r="AV145" s="785"/>
      <c r="AW145" s="785"/>
      <c r="AX145" s="785"/>
      <c r="AY145" s="785"/>
      <c r="AZ145" s="785"/>
      <c r="BA145" s="785"/>
      <c r="BB145" s="785"/>
      <c r="BC145" s="785"/>
      <c r="BD145" s="785"/>
      <c r="BE145" s="785"/>
      <c r="BF145" s="785"/>
      <c r="BG145" s="785"/>
      <c r="BH145" s="785"/>
      <c r="BI145" s="785"/>
      <c r="BJ145" s="785"/>
      <c r="BK145" s="785"/>
      <c r="BL145" s="785"/>
      <c r="BM145" s="785"/>
      <c r="BN145" s="785"/>
      <c r="BO145" s="785"/>
      <c r="BP145" s="785"/>
      <c r="BQ145" s="785"/>
      <c r="BR145" s="785"/>
      <c r="BS145" s="785"/>
      <c r="BT145" s="785"/>
      <c r="BU145" s="785"/>
      <c r="BV145" s="785"/>
      <c r="BW145" s="785"/>
      <c r="BX145" s="785"/>
      <c r="BY145" s="785"/>
      <c r="BZ145" s="785"/>
    </row>
    <row r="146" spans="39:78" s="143" customFormat="1">
      <c r="AM146" s="785"/>
      <c r="AN146" s="785"/>
      <c r="AO146" s="785"/>
      <c r="AP146" s="785"/>
      <c r="AQ146" s="785"/>
      <c r="AR146" s="785"/>
      <c r="AS146" s="785"/>
      <c r="AT146" s="785"/>
      <c r="AU146" s="785"/>
      <c r="AV146" s="785"/>
      <c r="AW146" s="785"/>
      <c r="AX146" s="785"/>
      <c r="AY146" s="785"/>
      <c r="AZ146" s="785"/>
      <c r="BA146" s="785"/>
      <c r="BB146" s="785"/>
      <c r="BC146" s="785"/>
      <c r="BD146" s="785"/>
      <c r="BE146" s="785"/>
      <c r="BF146" s="785"/>
      <c r="BG146" s="785"/>
      <c r="BH146" s="785"/>
      <c r="BI146" s="785"/>
      <c r="BJ146" s="785"/>
      <c r="BK146" s="785"/>
      <c r="BL146" s="785"/>
      <c r="BM146" s="785"/>
      <c r="BN146" s="785"/>
      <c r="BO146" s="785"/>
      <c r="BP146" s="785"/>
      <c r="BQ146" s="785"/>
      <c r="BR146" s="785"/>
      <c r="BS146" s="785"/>
      <c r="BT146" s="785"/>
      <c r="BU146" s="785"/>
      <c r="BV146" s="785"/>
      <c r="BW146" s="785"/>
      <c r="BX146" s="785"/>
      <c r="BY146" s="785"/>
      <c r="BZ146" s="785"/>
    </row>
    <row r="147" spans="39:78" s="143" customFormat="1">
      <c r="AM147" s="785"/>
      <c r="AN147" s="785"/>
      <c r="AO147" s="785"/>
      <c r="AP147" s="785"/>
      <c r="AQ147" s="785"/>
      <c r="AR147" s="785"/>
      <c r="AS147" s="785"/>
      <c r="AT147" s="785"/>
      <c r="AU147" s="785"/>
      <c r="AV147" s="785"/>
      <c r="AW147" s="785"/>
      <c r="AX147" s="785"/>
      <c r="AY147" s="785"/>
      <c r="AZ147" s="785"/>
      <c r="BA147" s="785"/>
      <c r="BB147" s="785"/>
      <c r="BC147" s="785"/>
      <c r="BD147" s="785"/>
      <c r="BE147" s="785"/>
      <c r="BF147" s="785"/>
      <c r="BG147" s="785"/>
      <c r="BH147" s="785"/>
      <c r="BI147" s="785"/>
      <c r="BJ147" s="785"/>
      <c r="BK147" s="785"/>
      <c r="BL147" s="785"/>
      <c r="BM147" s="785"/>
      <c r="BN147" s="785"/>
      <c r="BO147" s="785"/>
      <c r="BP147" s="785"/>
      <c r="BQ147" s="785"/>
      <c r="BR147" s="785"/>
      <c r="BS147" s="785"/>
      <c r="BT147" s="785"/>
      <c r="BU147" s="785"/>
      <c r="BV147" s="785"/>
      <c r="BW147" s="785"/>
      <c r="BX147" s="785"/>
      <c r="BY147" s="785"/>
      <c r="BZ147" s="785"/>
    </row>
    <row r="148" spans="39:78" s="143" customFormat="1">
      <c r="AM148" s="785"/>
      <c r="AN148" s="785"/>
      <c r="AO148" s="785"/>
      <c r="AP148" s="785"/>
      <c r="AQ148" s="785"/>
      <c r="AR148" s="785"/>
      <c r="AS148" s="785"/>
      <c r="AT148" s="785"/>
      <c r="AU148" s="785"/>
      <c r="AV148" s="785"/>
      <c r="AW148" s="785"/>
      <c r="AX148" s="785"/>
      <c r="AY148" s="785"/>
      <c r="AZ148" s="785"/>
      <c r="BA148" s="785"/>
      <c r="BB148" s="785"/>
      <c r="BC148" s="785"/>
      <c r="BD148" s="785"/>
      <c r="BE148" s="785"/>
      <c r="BF148" s="785"/>
      <c r="BG148" s="785"/>
      <c r="BH148" s="785"/>
      <c r="BI148" s="785"/>
      <c r="BJ148" s="785"/>
      <c r="BK148" s="785"/>
      <c r="BL148" s="785"/>
      <c r="BM148" s="785"/>
      <c r="BN148" s="785"/>
      <c r="BO148" s="785"/>
      <c r="BP148" s="785"/>
      <c r="BQ148" s="785"/>
      <c r="BR148" s="785"/>
      <c r="BS148" s="785"/>
      <c r="BT148" s="785"/>
      <c r="BU148" s="785"/>
      <c r="BV148" s="785"/>
      <c r="BW148" s="785"/>
      <c r="BX148" s="785"/>
      <c r="BY148" s="785"/>
      <c r="BZ148" s="785"/>
    </row>
    <row r="149" spans="39:78" s="143" customFormat="1">
      <c r="AM149" s="785"/>
      <c r="AN149" s="785"/>
      <c r="AO149" s="785"/>
      <c r="AP149" s="785"/>
      <c r="AQ149" s="785"/>
      <c r="AR149" s="785"/>
      <c r="AS149" s="785"/>
      <c r="AT149" s="785"/>
      <c r="AU149" s="785"/>
      <c r="AV149" s="785"/>
      <c r="AW149" s="785"/>
      <c r="AX149" s="785"/>
      <c r="AY149" s="785"/>
      <c r="AZ149" s="785"/>
      <c r="BA149" s="785"/>
      <c r="BB149" s="785"/>
      <c r="BC149" s="785"/>
      <c r="BD149" s="785"/>
      <c r="BE149" s="785"/>
      <c r="BF149" s="785"/>
      <c r="BG149" s="785"/>
      <c r="BH149" s="785"/>
      <c r="BI149" s="785"/>
      <c r="BJ149" s="785"/>
      <c r="BK149" s="785"/>
      <c r="BL149" s="785"/>
      <c r="BM149" s="785"/>
      <c r="BN149" s="785"/>
      <c r="BO149" s="785"/>
      <c r="BP149" s="785"/>
      <c r="BQ149" s="785"/>
      <c r="BR149" s="785"/>
      <c r="BS149" s="785"/>
      <c r="BT149" s="785"/>
      <c r="BU149" s="785"/>
      <c r="BV149" s="785"/>
      <c r="BW149" s="785"/>
      <c r="BX149" s="785"/>
      <c r="BY149" s="785"/>
      <c r="BZ149" s="785"/>
    </row>
    <row r="150" spans="39:78" s="143" customFormat="1">
      <c r="AM150" s="785"/>
      <c r="AN150" s="785"/>
      <c r="AO150" s="785"/>
      <c r="AP150" s="785"/>
      <c r="AQ150" s="785"/>
      <c r="AR150" s="785"/>
      <c r="AS150" s="785"/>
      <c r="AT150" s="785"/>
      <c r="AU150" s="785"/>
      <c r="AV150" s="785"/>
      <c r="AW150" s="785"/>
      <c r="AX150" s="785"/>
      <c r="AY150" s="785"/>
      <c r="AZ150" s="785"/>
      <c r="BA150" s="785"/>
      <c r="BB150" s="785"/>
      <c r="BC150" s="785"/>
      <c r="BD150" s="785"/>
      <c r="BE150" s="785"/>
      <c r="BF150" s="785"/>
      <c r="BG150" s="785"/>
      <c r="BH150" s="785"/>
      <c r="BI150" s="785"/>
      <c r="BJ150" s="785"/>
      <c r="BK150" s="785"/>
      <c r="BL150" s="785"/>
      <c r="BM150" s="785"/>
      <c r="BN150" s="785"/>
      <c r="BO150" s="785"/>
      <c r="BP150" s="785"/>
      <c r="BQ150" s="785"/>
      <c r="BR150" s="785"/>
      <c r="BS150" s="785"/>
      <c r="BT150" s="785"/>
      <c r="BU150" s="785"/>
      <c r="BV150" s="785"/>
      <c r="BW150" s="785"/>
      <c r="BX150" s="785"/>
      <c r="BY150" s="785"/>
      <c r="BZ150" s="785"/>
    </row>
    <row r="151" spans="39:78" s="143" customFormat="1">
      <c r="AM151" s="785"/>
      <c r="AN151" s="785"/>
      <c r="AO151" s="785"/>
      <c r="AP151" s="785"/>
      <c r="AQ151" s="785"/>
      <c r="AR151" s="785"/>
      <c r="AS151" s="785"/>
      <c r="AT151" s="785"/>
      <c r="AU151" s="785"/>
      <c r="AV151" s="785"/>
      <c r="AW151" s="785"/>
      <c r="AX151" s="785"/>
      <c r="AY151" s="785"/>
      <c r="AZ151" s="785"/>
      <c r="BA151" s="785"/>
      <c r="BB151" s="785"/>
      <c r="BC151" s="785"/>
      <c r="BD151" s="785"/>
      <c r="BE151" s="785"/>
      <c r="BF151" s="785"/>
      <c r="BG151" s="785"/>
      <c r="BH151" s="785"/>
      <c r="BI151" s="785"/>
      <c r="BJ151" s="785"/>
      <c r="BK151" s="785"/>
      <c r="BL151" s="785"/>
      <c r="BM151" s="785"/>
      <c r="BN151" s="785"/>
      <c r="BO151" s="785"/>
      <c r="BP151" s="785"/>
      <c r="BQ151" s="785"/>
      <c r="BR151" s="785"/>
      <c r="BS151" s="785"/>
      <c r="BT151" s="785"/>
      <c r="BU151" s="785"/>
      <c r="BV151" s="785"/>
      <c r="BW151" s="785"/>
      <c r="BX151" s="785"/>
      <c r="BY151" s="785"/>
      <c r="BZ151" s="785"/>
    </row>
    <row r="152" spans="39:78" s="143" customFormat="1">
      <c r="AM152" s="785"/>
      <c r="AN152" s="785"/>
      <c r="AO152" s="785"/>
      <c r="AP152" s="785"/>
      <c r="AQ152" s="785"/>
      <c r="AR152" s="785"/>
      <c r="AS152" s="785"/>
      <c r="AT152" s="785"/>
      <c r="AU152" s="785"/>
      <c r="AV152" s="785"/>
      <c r="AW152" s="785"/>
      <c r="AX152" s="785"/>
      <c r="AY152" s="785"/>
      <c r="AZ152" s="785"/>
      <c r="BA152" s="785"/>
      <c r="BB152" s="785"/>
      <c r="BC152" s="785"/>
      <c r="BD152" s="785"/>
      <c r="BE152" s="785"/>
      <c r="BF152" s="785"/>
      <c r="BG152" s="785"/>
      <c r="BH152" s="785"/>
      <c r="BI152" s="785"/>
      <c r="BJ152" s="785"/>
      <c r="BK152" s="785"/>
      <c r="BL152" s="785"/>
      <c r="BM152" s="785"/>
      <c r="BN152" s="785"/>
      <c r="BO152" s="785"/>
      <c r="BP152" s="785"/>
      <c r="BQ152" s="785"/>
      <c r="BR152" s="785"/>
      <c r="BS152" s="785"/>
      <c r="BT152" s="785"/>
      <c r="BU152" s="785"/>
      <c r="BV152" s="785"/>
      <c r="BW152" s="785"/>
      <c r="BX152" s="785"/>
      <c r="BY152" s="785"/>
      <c r="BZ152" s="785"/>
    </row>
    <row r="153" spans="39:78" s="143" customFormat="1">
      <c r="AM153" s="785"/>
      <c r="AN153" s="785"/>
      <c r="AO153" s="785"/>
      <c r="AP153" s="785"/>
      <c r="AQ153" s="785"/>
      <c r="AR153" s="785"/>
      <c r="AS153" s="785"/>
      <c r="AT153" s="785"/>
      <c r="AU153" s="785"/>
      <c r="AV153" s="785"/>
      <c r="AW153" s="785"/>
      <c r="AX153" s="785"/>
      <c r="AY153" s="785"/>
      <c r="AZ153" s="785"/>
      <c r="BA153" s="785"/>
      <c r="BB153" s="785"/>
      <c r="BC153" s="785"/>
      <c r="BD153" s="785"/>
      <c r="BE153" s="785"/>
      <c r="BF153" s="785"/>
      <c r="BG153" s="785"/>
      <c r="BH153" s="785"/>
      <c r="BI153" s="785"/>
      <c r="BJ153" s="785"/>
      <c r="BK153" s="785"/>
      <c r="BL153" s="785"/>
      <c r="BM153" s="785"/>
      <c r="BN153" s="785"/>
      <c r="BO153" s="785"/>
      <c r="BP153" s="785"/>
      <c r="BQ153" s="785"/>
      <c r="BR153" s="785"/>
      <c r="BS153" s="785"/>
      <c r="BT153" s="785"/>
      <c r="BU153" s="785"/>
      <c r="BV153" s="785"/>
      <c r="BW153" s="785"/>
      <c r="BX153" s="785"/>
      <c r="BY153" s="785"/>
      <c r="BZ153" s="785"/>
    </row>
    <row r="154" spans="39:78" s="143" customFormat="1">
      <c r="AM154" s="785"/>
      <c r="AN154" s="785"/>
      <c r="AO154" s="785"/>
      <c r="AP154" s="785"/>
      <c r="AQ154" s="785"/>
      <c r="AR154" s="785"/>
      <c r="AS154" s="785"/>
      <c r="AT154" s="785"/>
      <c r="AU154" s="785"/>
      <c r="AV154" s="785"/>
      <c r="AW154" s="785"/>
      <c r="AX154" s="785"/>
      <c r="AY154" s="785"/>
      <c r="AZ154" s="785"/>
      <c r="BA154" s="785"/>
      <c r="BB154" s="785"/>
      <c r="BC154" s="785"/>
      <c r="BD154" s="785"/>
      <c r="BE154" s="785"/>
      <c r="BF154" s="785"/>
      <c r="BG154" s="785"/>
      <c r="BH154" s="785"/>
      <c r="BI154" s="785"/>
      <c r="BJ154" s="785"/>
      <c r="BK154" s="785"/>
      <c r="BL154" s="785"/>
      <c r="BM154" s="785"/>
      <c r="BN154" s="785"/>
      <c r="BO154" s="785"/>
      <c r="BP154" s="785"/>
      <c r="BQ154" s="785"/>
      <c r="BR154" s="785"/>
      <c r="BS154" s="785"/>
      <c r="BT154" s="785"/>
      <c r="BU154" s="785"/>
      <c r="BV154" s="785"/>
      <c r="BW154" s="785"/>
      <c r="BX154" s="785"/>
      <c r="BY154" s="785"/>
      <c r="BZ154" s="785"/>
    </row>
    <row r="155" spans="39:78" s="143" customFormat="1">
      <c r="AM155" s="785"/>
      <c r="AN155" s="785"/>
      <c r="AO155" s="785"/>
      <c r="AP155" s="785"/>
      <c r="AQ155" s="785"/>
      <c r="AR155" s="785"/>
      <c r="AS155" s="785"/>
      <c r="AT155" s="785"/>
      <c r="AU155" s="785"/>
      <c r="AV155" s="785"/>
      <c r="AW155" s="785"/>
      <c r="AX155" s="785"/>
      <c r="AY155" s="785"/>
      <c r="AZ155" s="785"/>
      <c r="BA155" s="785"/>
      <c r="BB155" s="785"/>
      <c r="BC155" s="785"/>
      <c r="BD155" s="785"/>
      <c r="BE155" s="785"/>
      <c r="BF155" s="785"/>
      <c r="BG155" s="785"/>
      <c r="BH155" s="785"/>
      <c r="BI155" s="785"/>
      <c r="BJ155" s="785"/>
      <c r="BK155" s="785"/>
      <c r="BL155" s="785"/>
      <c r="BM155" s="785"/>
      <c r="BN155" s="785"/>
      <c r="BO155" s="785"/>
      <c r="BP155" s="785"/>
      <c r="BQ155" s="785"/>
      <c r="BR155" s="785"/>
      <c r="BS155" s="785"/>
      <c r="BT155" s="785"/>
      <c r="BU155" s="785"/>
      <c r="BV155" s="785"/>
      <c r="BW155" s="785"/>
      <c r="BX155" s="785"/>
      <c r="BY155" s="785"/>
      <c r="BZ155" s="785"/>
    </row>
    <row r="156" spans="39:78" s="143" customFormat="1">
      <c r="AM156" s="785"/>
      <c r="AN156" s="785"/>
      <c r="AO156" s="785"/>
      <c r="AP156" s="785"/>
      <c r="AQ156" s="785"/>
      <c r="AR156" s="785"/>
      <c r="AS156" s="785"/>
      <c r="AT156" s="785"/>
      <c r="AU156" s="785"/>
      <c r="AV156" s="785"/>
      <c r="AW156" s="785"/>
      <c r="AX156" s="785"/>
      <c r="AY156" s="785"/>
      <c r="AZ156" s="785"/>
      <c r="BA156" s="785"/>
      <c r="BB156" s="785"/>
      <c r="BC156" s="785"/>
      <c r="BD156" s="785"/>
      <c r="BE156" s="785"/>
      <c r="BF156" s="785"/>
      <c r="BG156" s="785"/>
      <c r="BH156" s="785"/>
      <c r="BI156" s="785"/>
      <c r="BJ156" s="785"/>
      <c r="BK156" s="785"/>
      <c r="BL156" s="785"/>
      <c r="BM156" s="785"/>
      <c r="BN156" s="785"/>
      <c r="BO156" s="785"/>
      <c r="BP156" s="785"/>
      <c r="BQ156" s="785"/>
      <c r="BR156" s="785"/>
      <c r="BS156" s="785"/>
      <c r="BT156" s="785"/>
      <c r="BU156" s="785"/>
      <c r="BV156" s="785"/>
      <c r="BW156" s="785"/>
      <c r="BX156" s="785"/>
      <c r="BY156" s="785"/>
      <c r="BZ156" s="785"/>
    </row>
    <row r="157" spans="39:78" s="143" customFormat="1">
      <c r="AM157" s="785"/>
      <c r="AN157" s="785"/>
      <c r="AO157" s="785"/>
      <c r="AP157" s="785"/>
      <c r="AQ157" s="785"/>
      <c r="AR157" s="785"/>
      <c r="AS157" s="785"/>
      <c r="AT157" s="785"/>
      <c r="AU157" s="785"/>
      <c r="AV157" s="785"/>
      <c r="AW157" s="785"/>
      <c r="AX157" s="785"/>
      <c r="AY157" s="785"/>
      <c r="AZ157" s="785"/>
      <c r="BA157" s="785"/>
      <c r="BB157" s="785"/>
      <c r="BC157" s="785"/>
      <c r="BD157" s="785"/>
      <c r="BE157" s="785"/>
      <c r="BF157" s="785"/>
      <c r="BG157" s="785"/>
      <c r="BH157" s="785"/>
      <c r="BI157" s="785"/>
      <c r="BJ157" s="785"/>
      <c r="BK157" s="785"/>
      <c r="BL157" s="785"/>
      <c r="BM157" s="785"/>
      <c r="BN157" s="785"/>
      <c r="BO157" s="785"/>
      <c r="BP157" s="785"/>
      <c r="BQ157" s="785"/>
      <c r="BR157" s="785"/>
      <c r="BS157" s="785"/>
      <c r="BT157" s="785"/>
      <c r="BU157" s="785"/>
      <c r="BV157" s="785"/>
      <c r="BW157" s="785"/>
      <c r="BX157" s="785"/>
      <c r="BY157" s="785"/>
      <c r="BZ157" s="785"/>
    </row>
    <row r="158" spans="39:78" s="143" customFormat="1">
      <c r="AM158" s="785"/>
      <c r="AN158" s="785"/>
      <c r="AO158" s="785"/>
      <c r="AP158" s="785"/>
      <c r="AQ158" s="785"/>
      <c r="AR158" s="785"/>
      <c r="AS158" s="785"/>
      <c r="AT158" s="785"/>
      <c r="AU158" s="785"/>
      <c r="AV158" s="785"/>
      <c r="AW158" s="785"/>
      <c r="AX158" s="785"/>
      <c r="AY158" s="785"/>
      <c r="AZ158" s="785"/>
      <c r="BA158" s="785"/>
      <c r="BB158" s="785"/>
      <c r="BC158" s="785"/>
      <c r="BD158" s="785"/>
      <c r="BE158" s="785"/>
      <c r="BF158" s="785"/>
      <c r="BG158" s="785"/>
      <c r="BH158" s="785"/>
      <c r="BI158" s="785"/>
      <c r="BJ158" s="785"/>
      <c r="BK158" s="785"/>
      <c r="BL158" s="785"/>
      <c r="BM158" s="785"/>
      <c r="BN158" s="785"/>
      <c r="BO158" s="785"/>
      <c r="BP158" s="785"/>
      <c r="BQ158" s="785"/>
      <c r="BR158" s="785"/>
      <c r="BS158" s="785"/>
      <c r="BT158" s="785"/>
      <c r="BU158" s="785"/>
      <c r="BV158" s="785"/>
      <c r="BW158" s="785"/>
      <c r="BX158" s="785"/>
      <c r="BY158" s="785"/>
      <c r="BZ158" s="785"/>
    </row>
    <row r="159" spans="39:78" s="143" customFormat="1">
      <c r="AM159" s="785"/>
      <c r="AN159" s="785"/>
      <c r="AO159" s="785"/>
      <c r="AP159" s="785"/>
      <c r="AQ159" s="785"/>
      <c r="AR159" s="785"/>
      <c r="AS159" s="785"/>
      <c r="AT159" s="785"/>
      <c r="AU159" s="785"/>
      <c r="AV159" s="785"/>
      <c r="AW159" s="785"/>
      <c r="AX159" s="785"/>
      <c r="AY159" s="785"/>
      <c r="AZ159" s="785"/>
      <c r="BA159" s="785"/>
      <c r="BB159" s="785"/>
      <c r="BC159" s="785"/>
      <c r="BD159" s="785"/>
      <c r="BE159" s="785"/>
      <c r="BF159" s="785"/>
      <c r="BG159" s="785"/>
      <c r="BH159" s="785"/>
      <c r="BI159" s="785"/>
      <c r="BJ159" s="785"/>
      <c r="BK159" s="785"/>
      <c r="BL159" s="785"/>
      <c r="BM159" s="785"/>
      <c r="BN159" s="785"/>
      <c r="BO159" s="785"/>
      <c r="BP159" s="785"/>
      <c r="BQ159" s="785"/>
      <c r="BR159" s="785"/>
      <c r="BS159" s="785"/>
      <c r="BT159" s="785"/>
      <c r="BU159" s="785"/>
      <c r="BV159" s="785"/>
      <c r="BW159" s="785"/>
      <c r="BX159" s="785"/>
      <c r="BY159" s="785"/>
      <c r="BZ159" s="785"/>
    </row>
    <row r="160" spans="39:78" s="143" customFormat="1">
      <c r="AM160" s="785"/>
      <c r="AN160" s="785"/>
      <c r="AO160" s="785"/>
      <c r="AP160" s="785"/>
      <c r="AQ160" s="785"/>
      <c r="AR160" s="785"/>
      <c r="AS160" s="785"/>
      <c r="AT160" s="785"/>
      <c r="AU160" s="785"/>
      <c r="AV160" s="785"/>
      <c r="AW160" s="785"/>
      <c r="AX160" s="785"/>
      <c r="AY160" s="785"/>
      <c r="AZ160" s="785"/>
      <c r="BA160" s="785"/>
      <c r="BB160" s="785"/>
      <c r="BC160" s="785"/>
      <c r="BD160" s="785"/>
      <c r="BE160" s="785"/>
      <c r="BF160" s="785"/>
      <c r="BG160" s="785"/>
      <c r="BH160" s="785"/>
      <c r="BI160" s="785"/>
      <c r="BJ160" s="785"/>
      <c r="BK160" s="785"/>
      <c r="BL160" s="785"/>
      <c r="BM160" s="785"/>
      <c r="BN160" s="785"/>
      <c r="BO160" s="785"/>
      <c r="BP160" s="785"/>
      <c r="BQ160" s="785"/>
      <c r="BR160" s="785"/>
      <c r="BS160" s="785"/>
      <c r="BT160" s="785"/>
      <c r="BU160" s="785"/>
      <c r="BV160" s="785"/>
      <c r="BW160" s="785"/>
      <c r="BX160" s="785"/>
      <c r="BY160" s="785"/>
      <c r="BZ160" s="785"/>
    </row>
    <row r="161" spans="39:78" s="143" customFormat="1">
      <c r="AM161" s="785"/>
      <c r="AN161" s="785"/>
      <c r="AO161" s="785"/>
      <c r="AP161" s="785"/>
      <c r="AQ161" s="785"/>
      <c r="AR161" s="785"/>
      <c r="AS161" s="785"/>
      <c r="AT161" s="785"/>
      <c r="AU161" s="785"/>
      <c r="AV161" s="785"/>
      <c r="AW161" s="785"/>
      <c r="AX161" s="785"/>
      <c r="AY161" s="785"/>
      <c r="AZ161" s="785"/>
      <c r="BA161" s="785"/>
      <c r="BB161" s="785"/>
      <c r="BC161" s="785"/>
      <c r="BD161" s="785"/>
      <c r="BE161" s="785"/>
      <c r="BF161" s="785"/>
      <c r="BG161" s="785"/>
      <c r="BH161" s="785"/>
      <c r="BI161" s="785"/>
      <c r="BJ161" s="785"/>
      <c r="BK161" s="785"/>
      <c r="BL161" s="785"/>
      <c r="BM161" s="785"/>
      <c r="BN161" s="785"/>
      <c r="BO161" s="785"/>
      <c r="BP161" s="785"/>
      <c r="BQ161" s="785"/>
      <c r="BR161" s="785"/>
      <c r="BS161" s="785"/>
      <c r="BT161" s="785"/>
      <c r="BU161" s="785"/>
      <c r="BV161" s="785"/>
      <c r="BW161" s="785"/>
      <c r="BX161" s="785"/>
      <c r="BY161" s="785"/>
      <c r="BZ161" s="785"/>
    </row>
    <row r="162" spans="39:78" s="143" customFormat="1">
      <c r="AM162" s="785"/>
      <c r="AN162" s="785"/>
      <c r="AO162" s="785"/>
      <c r="AP162" s="785"/>
      <c r="AQ162" s="785"/>
      <c r="AR162" s="785"/>
      <c r="AS162" s="785"/>
      <c r="AT162" s="785"/>
      <c r="AU162" s="785"/>
      <c r="AV162" s="785"/>
      <c r="AW162" s="785"/>
      <c r="AX162" s="785"/>
      <c r="AY162" s="785"/>
      <c r="AZ162" s="785"/>
      <c r="BA162" s="785"/>
      <c r="BB162" s="785"/>
      <c r="BC162" s="785"/>
      <c r="BD162" s="785"/>
      <c r="BE162" s="785"/>
      <c r="BF162" s="785"/>
      <c r="BG162" s="785"/>
      <c r="BH162" s="785"/>
      <c r="BI162" s="785"/>
      <c r="BJ162" s="785"/>
      <c r="BK162" s="785"/>
      <c r="BL162" s="785"/>
      <c r="BM162" s="785"/>
      <c r="BN162" s="785"/>
      <c r="BO162" s="785"/>
      <c r="BP162" s="785"/>
      <c r="BQ162" s="785"/>
      <c r="BR162" s="785"/>
      <c r="BS162" s="785"/>
      <c r="BT162" s="785"/>
      <c r="BU162" s="785"/>
      <c r="BV162" s="785"/>
      <c r="BW162" s="785"/>
      <c r="BX162" s="785"/>
      <c r="BY162" s="785"/>
      <c r="BZ162" s="785"/>
    </row>
    <row r="163" spans="39:78" s="143" customFormat="1">
      <c r="AM163" s="785"/>
      <c r="AN163" s="785"/>
      <c r="AO163" s="785"/>
      <c r="AP163" s="785"/>
      <c r="AQ163" s="785"/>
      <c r="AR163" s="785"/>
      <c r="AS163" s="785"/>
      <c r="AT163" s="785"/>
      <c r="AU163" s="785"/>
      <c r="AV163" s="785"/>
      <c r="AW163" s="785"/>
      <c r="AX163" s="785"/>
      <c r="AY163" s="785"/>
      <c r="AZ163" s="785"/>
      <c r="BA163" s="785"/>
      <c r="BB163" s="785"/>
      <c r="BC163" s="785"/>
      <c r="BD163" s="785"/>
      <c r="BE163" s="785"/>
      <c r="BF163" s="785"/>
      <c r="BG163" s="785"/>
      <c r="BH163" s="785"/>
      <c r="BI163" s="785"/>
      <c r="BJ163" s="785"/>
      <c r="BK163" s="785"/>
      <c r="BL163" s="785"/>
      <c r="BM163" s="785"/>
      <c r="BN163" s="785"/>
      <c r="BO163" s="785"/>
      <c r="BP163" s="785"/>
      <c r="BQ163" s="785"/>
      <c r="BR163" s="785"/>
      <c r="BS163" s="785"/>
      <c r="BT163" s="785"/>
      <c r="BU163" s="785"/>
      <c r="BV163" s="785"/>
      <c r="BW163" s="785"/>
      <c r="BX163" s="785"/>
      <c r="BY163" s="785"/>
      <c r="BZ163" s="785"/>
    </row>
    <row r="164" spans="39:78" s="143" customFormat="1">
      <c r="AM164" s="785"/>
      <c r="AN164" s="785"/>
      <c r="AO164" s="785"/>
      <c r="AP164" s="785"/>
      <c r="AQ164" s="785"/>
      <c r="AR164" s="785"/>
      <c r="AS164" s="785"/>
      <c r="AT164" s="785"/>
      <c r="AU164" s="785"/>
      <c r="AV164" s="785"/>
      <c r="AW164" s="785"/>
      <c r="AX164" s="785"/>
      <c r="AY164" s="785"/>
      <c r="AZ164" s="785"/>
      <c r="BA164" s="785"/>
      <c r="BB164" s="785"/>
      <c r="BC164" s="785"/>
      <c r="BD164" s="785"/>
      <c r="BE164" s="785"/>
      <c r="BF164" s="785"/>
      <c r="BG164" s="785"/>
      <c r="BH164" s="785"/>
      <c r="BI164" s="785"/>
      <c r="BJ164" s="785"/>
      <c r="BK164" s="785"/>
      <c r="BL164" s="785"/>
      <c r="BM164" s="785"/>
      <c r="BN164" s="785"/>
      <c r="BO164" s="785"/>
      <c r="BP164" s="785"/>
      <c r="BQ164" s="785"/>
      <c r="BR164" s="785"/>
      <c r="BS164" s="785"/>
      <c r="BT164" s="785"/>
      <c r="BU164" s="785"/>
      <c r="BV164" s="785"/>
      <c r="BW164" s="785"/>
      <c r="BX164" s="785"/>
      <c r="BY164" s="785"/>
      <c r="BZ164" s="785"/>
    </row>
    <row r="165" spans="39:78" s="143" customFormat="1">
      <c r="AM165" s="785"/>
      <c r="AN165" s="785"/>
      <c r="AO165" s="785"/>
      <c r="AP165" s="785"/>
      <c r="AQ165" s="785"/>
      <c r="AR165" s="785"/>
      <c r="AS165" s="785"/>
      <c r="AT165" s="785"/>
      <c r="AU165" s="785"/>
      <c r="AV165" s="785"/>
      <c r="AW165" s="785"/>
      <c r="AX165" s="785"/>
      <c r="AY165" s="785"/>
      <c r="AZ165" s="785"/>
      <c r="BA165" s="785"/>
      <c r="BB165" s="785"/>
      <c r="BC165" s="785"/>
      <c r="BD165" s="785"/>
      <c r="BE165" s="785"/>
      <c r="BF165" s="785"/>
      <c r="BG165" s="785"/>
      <c r="BH165" s="785"/>
      <c r="BI165" s="785"/>
      <c r="BJ165" s="785"/>
      <c r="BK165" s="785"/>
      <c r="BL165" s="785"/>
      <c r="BM165" s="785"/>
      <c r="BN165" s="785"/>
      <c r="BO165" s="785"/>
      <c r="BP165" s="785"/>
      <c r="BQ165" s="785"/>
      <c r="BR165" s="785"/>
      <c r="BS165" s="785"/>
      <c r="BT165" s="785"/>
      <c r="BU165" s="785"/>
      <c r="BV165" s="785"/>
      <c r="BW165" s="785"/>
      <c r="BX165" s="785"/>
      <c r="BY165" s="785"/>
      <c r="BZ165" s="785"/>
    </row>
    <row r="166" spans="39:78" s="143" customFormat="1">
      <c r="AM166" s="785"/>
      <c r="AN166" s="785"/>
      <c r="AO166" s="785"/>
      <c r="AP166" s="785"/>
      <c r="AQ166" s="785"/>
      <c r="AR166" s="785"/>
      <c r="AS166" s="785"/>
      <c r="AT166" s="785"/>
      <c r="AU166" s="785"/>
      <c r="AV166" s="785"/>
      <c r="AW166" s="785"/>
      <c r="AX166" s="785"/>
      <c r="AY166" s="785"/>
      <c r="AZ166" s="785"/>
      <c r="BA166" s="785"/>
      <c r="BB166" s="785"/>
      <c r="BC166" s="785"/>
      <c r="BD166" s="785"/>
      <c r="BE166" s="785"/>
      <c r="BF166" s="785"/>
      <c r="BG166" s="785"/>
      <c r="BH166" s="785"/>
      <c r="BI166" s="785"/>
      <c r="BJ166" s="785"/>
      <c r="BK166" s="785"/>
      <c r="BL166" s="785"/>
      <c r="BM166" s="785"/>
      <c r="BN166" s="785"/>
      <c r="BO166" s="785"/>
      <c r="BP166" s="785"/>
      <c r="BQ166" s="785"/>
      <c r="BR166" s="785"/>
      <c r="BS166" s="785"/>
      <c r="BT166" s="785"/>
      <c r="BU166" s="785"/>
      <c r="BV166" s="785"/>
      <c r="BW166" s="785"/>
      <c r="BX166" s="785"/>
      <c r="BY166" s="785"/>
      <c r="BZ166" s="785"/>
    </row>
    <row r="167" spans="39:78" s="143" customFormat="1">
      <c r="AM167" s="785"/>
      <c r="AN167" s="785"/>
      <c r="AO167" s="785"/>
      <c r="AP167" s="785"/>
      <c r="AQ167" s="785"/>
      <c r="AR167" s="785"/>
      <c r="AS167" s="785"/>
      <c r="AT167" s="785"/>
      <c r="AU167" s="785"/>
      <c r="AV167" s="785"/>
      <c r="AW167" s="785"/>
      <c r="AX167" s="785"/>
      <c r="AY167" s="785"/>
      <c r="AZ167" s="785"/>
      <c r="BA167" s="785"/>
      <c r="BB167" s="785"/>
      <c r="BC167" s="785"/>
      <c r="BD167" s="785"/>
      <c r="BE167" s="785"/>
      <c r="BF167" s="785"/>
      <c r="BG167" s="785"/>
      <c r="BH167" s="785"/>
      <c r="BI167" s="785"/>
      <c r="BJ167" s="785"/>
      <c r="BK167" s="785"/>
      <c r="BL167" s="785"/>
      <c r="BM167" s="785"/>
      <c r="BN167" s="785"/>
      <c r="BO167" s="785"/>
      <c r="BP167" s="785"/>
      <c r="BQ167" s="785"/>
      <c r="BR167" s="785"/>
      <c r="BS167" s="785"/>
      <c r="BT167" s="785"/>
      <c r="BU167" s="785"/>
      <c r="BV167" s="785"/>
      <c r="BW167" s="785"/>
      <c r="BX167" s="785"/>
      <c r="BY167" s="785"/>
      <c r="BZ167" s="785"/>
    </row>
    <row r="168" spans="39:78" s="143" customFormat="1">
      <c r="AM168" s="785"/>
      <c r="AN168" s="785"/>
      <c r="AO168" s="785"/>
      <c r="AP168" s="785"/>
      <c r="AQ168" s="785"/>
      <c r="AR168" s="785"/>
      <c r="AS168" s="785"/>
      <c r="AT168" s="785"/>
      <c r="AU168" s="785"/>
      <c r="AV168" s="785"/>
      <c r="AW168" s="785"/>
      <c r="AX168" s="785"/>
      <c r="AY168" s="785"/>
      <c r="AZ168" s="785"/>
      <c r="BA168" s="785"/>
      <c r="BB168" s="785"/>
      <c r="BC168" s="785"/>
      <c r="BD168" s="785"/>
      <c r="BE168" s="785"/>
      <c r="BF168" s="785"/>
      <c r="BG168" s="785"/>
      <c r="BH168" s="785"/>
      <c r="BI168" s="785"/>
      <c r="BJ168" s="785"/>
      <c r="BK168" s="785"/>
      <c r="BL168" s="785"/>
      <c r="BM168" s="785"/>
      <c r="BN168" s="785"/>
      <c r="BO168" s="785"/>
      <c r="BP168" s="785"/>
      <c r="BQ168" s="785"/>
      <c r="BR168" s="785"/>
      <c r="BS168" s="785"/>
      <c r="BT168" s="785"/>
      <c r="BU168" s="785"/>
      <c r="BV168" s="785"/>
      <c r="BW168" s="785"/>
      <c r="BX168" s="785"/>
      <c r="BY168" s="785"/>
      <c r="BZ168" s="785"/>
    </row>
    <row r="169" spans="39:78" s="143" customFormat="1">
      <c r="AM169" s="785"/>
      <c r="AN169" s="785"/>
      <c r="AO169" s="785"/>
      <c r="AP169" s="785"/>
      <c r="AQ169" s="785"/>
      <c r="AR169" s="785"/>
      <c r="AS169" s="785"/>
      <c r="AT169" s="785"/>
      <c r="AU169" s="785"/>
      <c r="AV169" s="785"/>
      <c r="AW169" s="785"/>
      <c r="AX169" s="785"/>
      <c r="AY169" s="785"/>
      <c r="AZ169" s="785"/>
      <c r="BA169" s="785"/>
      <c r="BB169" s="785"/>
      <c r="BC169" s="785"/>
      <c r="BD169" s="785"/>
      <c r="BE169" s="785"/>
      <c r="BF169" s="785"/>
      <c r="BG169" s="785"/>
      <c r="BH169" s="785"/>
      <c r="BI169" s="785"/>
      <c r="BJ169" s="785"/>
      <c r="BK169" s="785"/>
      <c r="BL169" s="785"/>
      <c r="BM169" s="785"/>
      <c r="BN169" s="785"/>
      <c r="BO169" s="785"/>
      <c r="BP169" s="785"/>
      <c r="BQ169" s="785"/>
      <c r="BR169" s="785"/>
      <c r="BS169" s="785"/>
      <c r="BT169" s="785"/>
      <c r="BU169" s="785"/>
      <c r="BV169" s="785"/>
      <c r="BW169" s="785"/>
      <c r="BX169" s="785"/>
      <c r="BY169" s="785"/>
      <c r="BZ169" s="785"/>
    </row>
    <row r="170" spans="39:78" s="143" customFormat="1">
      <c r="AM170" s="785"/>
      <c r="AN170" s="785"/>
      <c r="AO170" s="785"/>
      <c r="AP170" s="785"/>
      <c r="AQ170" s="785"/>
      <c r="AR170" s="785"/>
      <c r="AS170" s="785"/>
      <c r="AT170" s="785"/>
      <c r="AU170" s="785"/>
      <c r="AV170" s="785"/>
      <c r="AW170" s="785"/>
      <c r="AX170" s="785"/>
      <c r="AY170" s="785"/>
      <c r="AZ170" s="785"/>
      <c r="BA170" s="785"/>
      <c r="BB170" s="785"/>
      <c r="BC170" s="785"/>
      <c r="BD170" s="785"/>
      <c r="BE170" s="785"/>
      <c r="BF170" s="785"/>
      <c r="BG170" s="785"/>
      <c r="BH170" s="785"/>
      <c r="BI170" s="785"/>
      <c r="BJ170" s="785"/>
      <c r="BK170" s="785"/>
      <c r="BL170" s="785"/>
      <c r="BM170" s="785"/>
      <c r="BN170" s="785"/>
      <c r="BO170" s="785"/>
      <c r="BP170" s="785"/>
      <c r="BQ170" s="785"/>
      <c r="BR170" s="785"/>
      <c r="BS170" s="785"/>
      <c r="BT170" s="785"/>
      <c r="BU170" s="785"/>
      <c r="BV170" s="785"/>
      <c r="BW170" s="785"/>
      <c r="BX170" s="785"/>
      <c r="BY170" s="785"/>
      <c r="BZ170" s="785"/>
    </row>
    <row r="171" spans="39:78" s="143" customFormat="1">
      <c r="AM171" s="785"/>
      <c r="AN171" s="785"/>
      <c r="AO171" s="785"/>
      <c r="AP171" s="785"/>
      <c r="AQ171" s="785"/>
      <c r="AR171" s="785"/>
      <c r="AS171" s="785"/>
      <c r="AT171" s="785"/>
      <c r="AU171" s="785"/>
      <c r="AV171" s="785"/>
      <c r="AW171" s="785"/>
      <c r="AX171" s="785"/>
      <c r="AY171" s="785"/>
      <c r="AZ171" s="785"/>
      <c r="BA171" s="785"/>
      <c r="BB171" s="785"/>
      <c r="BC171" s="785"/>
      <c r="BD171" s="785"/>
      <c r="BE171" s="785"/>
      <c r="BF171" s="785"/>
      <c r="BG171" s="785"/>
      <c r="BH171" s="785"/>
      <c r="BI171" s="785"/>
      <c r="BJ171" s="785"/>
      <c r="BK171" s="785"/>
      <c r="BL171" s="785"/>
      <c r="BM171" s="785"/>
      <c r="BN171" s="785"/>
      <c r="BO171" s="785"/>
      <c r="BP171" s="785"/>
      <c r="BQ171" s="785"/>
      <c r="BR171" s="785"/>
      <c r="BS171" s="785"/>
      <c r="BT171" s="785"/>
      <c r="BU171" s="785"/>
      <c r="BV171" s="785"/>
      <c r="BW171" s="785"/>
      <c r="BX171" s="785"/>
      <c r="BY171" s="785"/>
      <c r="BZ171" s="785"/>
    </row>
    <row r="172" spans="39:78" s="143" customFormat="1">
      <c r="AM172" s="785"/>
      <c r="AN172" s="785"/>
      <c r="AO172" s="785"/>
      <c r="AP172" s="785"/>
      <c r="AQ172" s="785"/>
      <c r="AR172" s="785"/>
      <c r="AS172" s="785"/>
      <c r="AT172" s="785"/>
      <c r="AU172" s="785"/>
      <c r="AV172" s="785"/>
      <c r="AW172" s="785"/>
      <c r="AX172" s="785"/>
      <c r="AY172" s="785"/>
      <c r="AZ172" s="785"/>
      <c r="BA172" s="785"/>
      <c r="BB172" s="785"/>
      <c r="BC172" s="785"/>
      <c r="BD172" s="785"/>
      <c r="BE172" s="785"/>
      <c r="BF172" s="785"/>
      <c r="BG172" s="785"/>
      <c r="BH172" s="785"/>
      <c r="BI172" s="785"/>
      <c r="BJ172" s="785"/>
      <c r="BK172" s="785"/>
      <c r="BL172" s="785"/>
      <c r="BM172" s="785"/>
      <c r="BN172" s="785"/>
      <c r="BO172" s="785"/>
      <c r="BP172" s="785"/>
      <c r="BQ172" s="785"/>
      <c r="BR172" s="785"/>
      <c r="BS172" s="785"/>
      <c r="BT172" s="785"/>
      <c r="BU172" s="785"/>
      <c r="BV172" s="785"/>
      <c r="BW172" s="785"/>
      <c r="BX172" s="785"/>
      <c r="BY172" s="785"/>
      <c r="BZ172" s="785"/>
    </row>
    <row r="173" spans="39:78" s="143" customFormat="1">
      <c r="AM173" s="785"/>
      <c r="AN173" s="785"/>
      <c r="AO173" s="785"/>
      <c r="AP173" s="785"/>
      <c r="AQ173" s="785"/>
      <c r="AR173" s="785"/>
      <c r="AS173" s="785"/>
      <c r="AT173" s="785"/>
      <c r="AU173" s="785"/>
      <c r="AV173" s="785"/>
      <c r="AW173" s="785"/>
      <c r="AX173" s="785"/>
      <c r="AY173" s="785"/>
      <c r="AZ173" s="785"/>
      <c r="BA173" s="785"/>
      <c r="BB173" s="785"/>
      <c r="BC173" s="785"/>
      <c r="BD173" s="785"/>
      <c r="BE173" s="785"/>
      <c r="BF173" s="785"/>
      <c r="BG173" s="785"/>
      <c r="BH173" s="785"/>
      <c r="BI173" s="785"/>
      <c r="BJ173" s="785"/>
      <c r="BK173" s="785"/>
      <c r="BL173" s="785"/>
      <c r="BM173" s="785"/>
      <c r="BN173" s="785"/>
      <c r="BO173" s="785"/>
      <c r="BP173" s="785"/>
      <c r="BQ173" s="785"/>
      <c r="BR173" s="785"/>
      <c r="BS173" s="785"/>
      <c r="BT173" s="785"/>
      <c r="BU173" s="785"/>
      <c r="BV173" s="785"/>
      <c r="BW173" s="785"/>
      <c r="BX173" s="785"/>
      <c r="BY173" s="785"/>
      <c r="BZ173" s="785"/>
    </row>
    <row r="174" spans="39:78" s="143" customFormat="1">
      <c r="AM174" s="785"/>
      <c r="AN174" s="785"/>
      <c r="AO174" s="785"/>
      <c r="AP174" s="785"/>
      <c r="AQ174" s="785"/>
      <c r="AR174" s="785"/>
      <c r="AS174" s="785"/>
      <c r="AT174" s="785"/>
      <c r="AU174" s="785"/>
      <c r="AV174" s="785"/>
      <c r="AW174" s="785"/>
      <c r="AX174" s="785"/>
      <c r="AY174" s="785"/>
      <c r="AZ174" s="785"/>
      <c r="BA174" s="785"/>
      <c r="BB174" s="785"/>
      <c r="BC174" s="785"/>
      <c r="BD174" s="785"/>
      <c r="BE174" s="785"/>
      <c r="BF174" s="785"/>
      <c r="BG174" s="785"/>
      <c r="BH174" s="785"/>
      <c r="BI174" s="785"/>
      <c r="BJ174" s="785"/>
      <c r="BK174" s="785"/>
      <c r="BL174" s="785"/>
      <c r="BM174" s="785"/>
      <c r="BN174" s="785"/>
      <c r="BO174" s="785"/>
      <c r="BP174" s="785"/>
      <c r="BQ174" s="785"/>
      <c r="BR174" s="785"/>
      <c r="BS174" s="785"/>
      <c r="BT174" s="785"/>
      <c r="BU174" s="785"/>
      <c r="BV174" s="785"/>
      <c r="BW174" s="785"/>
      <c r="BX174" s="785"/>
      <c r="BY174" s="785"/>
      <c r="BZ174" s="785"/>
    </row>
    <row r="175" spans="39:78" s="143" customFormat="1">
      <c r="AM175" s="785"/>
      <c r="AN175" s="785"/>
      <c r="AO175" s="785"/>
      <c r="AP175" s="785"/>
      <c r="AQ175" s="785"/>
      <c r="AR175" s="785"/>
      <c r="AS175" s="785"/>
      <c r="AT175" s="785"/>
      <c r="AU175" s="785"/>
      <c r="AV175" s="785"/>
      <c r="AW175" s="785"/>
      <c r="AX175" s="785"/>
      <c r="AY175" s="785"/>
      <c r="AZ175" s="785"/>
      <c r="BA175" s="785"/>
      <c r="BB175" s="785"/>
      <c r="BC175" s="785"/>
      <c r="BD175" s="785"/>
      <c r="BE175" s="785"/>
      <c r="BF175" s="785"/>
      <c r="BG175" s="785"/>
      <c r="BH175" s="785"/>
      <c r="BI175" s="785"/>
      <c r="BJ175" s="785"/>
      <c r="BK175" s="785"/>
      <c r="BL175" s="785"/>
      <c r="BM175" s="785"/>
      <c r="BN175" s="785"/>
      <c r="BO175" s="785"/>
      <c r="BP175" s="785"/>
      <c r="BQ175" s="785"/>
      <c r="BR175" s="785"/>
      <c r="BS175" s="785"/>
      <c r="BT175" s="785"/>
      <c r="BU175" s="785"/>
      <c r="BV175" s="785"/>
      <c r="BW175" s="785"/>
      <c r="BX175" s="785"/>
      <c r="BY175" s="785"/>
      <c r="BZ175" s="785"/>
    </row>
    <row r="176" spans="39:78" s="143" customFormat="1">
      <c r="AM176" s="785"/>
      <c r="AN176" s="785"/>
      <c r="AO176" s="785"/>
      <c r="AP176" s="785"/>
      <c r="AQ176" s="785"/>
      <c r="AR176" s="785"/>
      <c r="AS176" s="785"/>
      <c r="AT176" s="785"/>
      <c r="AU176" s="785"/>
      <c r="AV176" s="785"/>
      <c r="AW176" s="785"/>
      <c r="AX176" s="785"/>
      <c r="AY176" s="785"/>
      <c r="AZ176" s="785"/>
      <c r="BA176" s="785"/>
      <c r="BB176" s="785"/>
      <c r="BC176" s="785"/>
      <c r="BD176" s="785"/>
      <c r="BE176" s="785"/>
      <c r="BF176" s="785"/>
      <c r="BG176" s="785"/>
      <c r="BH176" s="785"/>
      <c r="BI176" s="785"/>
      <c r="BJ176" s="785"/>
      <c r="BK176" s="785"/>
      <c r="BL176" s="785"/>
      <c r="BM176" s="785"/>
      <c r="BN176" s="785"/>
      <c r="BO176" s="785"/>
      <c r="BP176" s="785"/>
      <c r="BQ176" s="785"/>
      <c r="BR176" s="785"/>
      <c r="BS176" s="785"/>
      <c r="BT176" s="785"/>
      <c r="BU176" s="785"/>
      <c r="BV176" s="785"/>
      <c r="BW176" s="785"/>
      <c r="BX176" s="785"/>
      <c r="BY176" s="785"/>
      <c r="BZ176" s="785"/>
    </row>
    <row r="177" spans="39:78" s="143" customFormat="1">
      <c r="AM177" s="785"/>
      <c r="AN177" s="785"/>
      <c r="AO177" s="785"/>
      <c r="AP177" s="785"/>
      <c r="AQ177" s="785"/>
      <c r="AR177" s="785"/>
      <c r="AS177" s="785"/>
      <c r="AT177" s="785"/>
      <c r="AU177" s="785"/>
      <c r="AV177" s="785"/>
      <c r="AW177" s="785"/>
      <c r="AX177" s="785"/>
      <c r="AY177" s="785"/>
      <c r="AZ177" s="785"/>
      <c r="BA177" s="785"/>
      <c r="BB177" s="785"/>
      <c r="BC177" s="785"/>
      <c r="BD177" s="785"/>
      <c r="BE177" s="785"/>
      <c r="BF177" s="785"/>
      <c r="BG177" s="785"/>
      <c r="BH177" s="785"/>
      <c r="BI177" s="785"/>
      <c r="BJ177" s="785"/>
      <c r="BK177" s="785"/>
      <c r="BL177" s="785"/>
      <c r="BM177" s="785"/>
      <c r="BN177" s="785"/>
      <c r="BO177" s="785"/>
      <c r="BP177" s="785"/>
      <c r="BQ177" s="785"/>
      <c r="BR177" s="785"/>
      <c r="BS177" s="785"/>
      <c r="BT177" s="785"/>
      <c r="BU177" s="785"/>
      <c r="BV177" s="785"/>
      <c r="BW177" s="785"/>
      <c r="BX177" s="785"/>
      <c r="BY177" s="785"/>
      <c r="BZ177" s="785"/>
    </row>
    <row r="178" spans="39:78" s="143" customFormat="1">
      <c r="AM178" s="785"/>
      <c r="AN178" s="785"/>
      <c r="AO178" s="785"/>
      <c r="AP178" s="785"/>
      <c r="AQ178" s="785"/>
      <c r="AR178" s="785"/>
      <c r="AS178" s="785"/>
      <c r="AT178" s="785"/>
      <c r="AU178" s="785"/>
      <c r="AV178" s="785"/>
      <c r="AW178" s="785"/>
      <c r="AX178" s="785"/>
      <c r="AY178" s="785"/>
      <c r="AZ178" s="785"/>
      <c r="BA178" s="785"/>
      <c r="BB178" s="785"/>
      <c r="BC178" s="785"/>
      <c r="BD178" s="785"/>
      <c r="BE178" s="785"/>
      <c r="BF178" s="785"/>
      <c r="BG178" s="785"/>
      <c r="BH178" s="785"/>
      <c r="BI178" s="785"/>
      <c r="BJ178" s="785"/>
      <c r="BK178" s="785"/>
      <c r="BL178" s="785"/>
      <c r="BM178" s="785"/>
      <c r="BN178" s="785"/>
      <c r="BO178" s="785"/>
      <c r="BP178" s="785"/>
      <c r="BQ178" s="785"/>
      <c r="BR178" s="785"/>
      <c r="BS178" s="785"/>
      <c r="BT178" s="785"/>
      <c r="BU178" s="785"/>
      <c r="BV178" s="785"/>
      <c r="BW178" s="785"/>
      <c r="BX178" s="785"/>
      <c r="BY178" s="785"/>
      <c r="BZ178" s="785"/>
    </row>
    <row r="179" spans="39:78" s="143" customFormat="1">
      <c r="AM179" s="785"/>
      <c r="AN179" s="785"/>
      <c r="AO179" s="785"/>
      <c r="AP179" s="785"/>
      <c r="AQ179" s="785"/>
      <c r="AR179" s="785"/>
      <c r="AS179" s="785"/>
      <c r="AT179" s="785"/>
      <c r="AU179" s="785"/>
      <c r="AV179" s="785"/>
      <c r="AW179" s="785"/>
      <c r="AX179" s="785"/>
      <c r="AY179" s="785"/>
      <c r="AZ179" s="785"/>
      <c r="BA179" s="785"/>
      <c r="BB179" s="785"/>
      <c r="BC179" s="785"/>
      <c r="BD179" s="785"/>
      <c r="BE179" s="785"/>
      <c r="BF179" s="785"/>
      <c r="BG179" s="785"/>
      <c r="BH179" s="785"/>
      <c r="BI179" s="785"/>
      <c r="BJ179" s="785"/>
      <c r="BK179" s="785"/>
      <c r="BL179" s="785"/>
      <c r="BM179" s="785"/>
      <c r="BN179" s="785"/>
      <c r="BO179" s="785"/>
      <c r="BP179" s="785"/>
      <c r="BQ179" s="785"/>
      <c r="BR179" s="785"/>
      <c r="BS179" s="785"/>
      <c r="BT179" s="785"/>
      <c r="BU179" s="785"/>
      <c r="BV179" s="785"/>
      <c r="BW179" s="785"/>
      <c r="BX179" s="785"/>
      <c r="BY179" s="785"/>
      <c r="BZ179" s="785"/>
    </row>
    <row r="180" spans="39:78" s="143" customFormat="1">
      <c r="AM180" s="785"/>
      <c r="AN180" s="785"/>
      <c r="AO180" s="785"/>
      <c r="AP180" s="785"/>
      <c r="AQ180" s="785"/>
      <c r="AR180" s="785"/>
      <c r="AS180" s="785"/>
      <c r="AT180" s="785"/>
      <c r="AU180" s="785"/>
      <c r="AV180" s="785"/>
      <c r="AW180" s="785"/>
      <c r="AX180" s="785"/>
      <c r="AY180" s="785"/>
      <c r="AZ180" s="785"/>
      <c r="BA180" s="785"/>
      <c r="BB180" s="785"/>
      <c r="BC180" s="785"/>
      <c r="BD180" s="785"/>
      <c r="BE180" s="785"/>
      <c r="BF180" s="785"/>
      <c r="BG180" s="785"/>
      <c r="BH180" s="785"/>
      <c r="BI180" s="785"/>
      <c r="BJ180" s="785"/>
      <c r="BK180" s="785"/>
      <c r="BL180" s="785"/>
      <c r="BM180" s="785"/>
      <c r="BN180" s="785"/>
      <c r="BO180" s="785"/>
      <c r="BP180" s="785"/>
      <c r="BQ180" s="785"/>
      <c r="BR180" s="785"/>
      <c r="BS180" s="785"/>
      <c r="BT180" s="785"/>
      <c r="BU180" s="785"/>
      <c r="BV180" s="785"/>
      <c r="BW180" s="785"/>
      <c r="BX180" s="785"/>
      <c r="BY180" s="785"/>
      <c r="BZ180" s="785"/>
    </row>
    <row r="181" spans="39:78" s="143" customFormat="1">
      <c r="AM181" s="785"/>
      <c r="AN181" s="785"/>
      <c r="AO181" s="785"/>
      <c r="AP181" s="785"/>
      <c r="AQ181" s="785"/>
      <c r="AR181" s="785"/>
      <c r="AS181" s="785"/>
      <c r="AT181" s="785"/>
      <c r="AU181" s="785"/>
      <c r="AV181" s="785"/>
      <c r="AW181" s="785"/>
      <c r="AX181" s="785"/>
      <c r="AY181" s="785"/>
      <c r="AZ181" s="785"/>
      <c r="BA181" s="785"/>
      <c r="BB181" s="785"/>
      <c r="BC181" s="785"/>
      <c r="BD181" s="785"/>
      <c r="BE181" s="785"/>
      <c r="BF181" s="785"/>
      <c r="BG181" s="785"/>
      <c r="BH181" s="785"/>
      <c r="BI181" s="785"/>
      <c r="BJ181" s="785"/>
      <c r="BK181" s="785"/>
      <c r="BL181" s="785"/>
      <c r="BM181" s="785"/>
      <c r="BN181" s="785"/>
      <c r="BO181" s="785"/>
      <c r="BP181" s="785"/>
      <c r="BQ181" s="785"/>
      <c r="BR181" s="785"/>
      <c r="BS181" s="785"/>
      <c r="BT181" s="785"/>
      <c r="BU181" s="785"/>
      <c r="BV181" s="785"/>
      <c r="BW181" s="785"/>
      <c r="BX181" s="785"/>
      <c r="BY181" s="785"/>
      <c r="BZ181" s="785"/>
    </row>
    <row r="182" spans="39:78" s="143" customFormat="1">
      <c r="AM182" s="785"/>
      <c r="AN182" s="785"/>
      <c r="AO182" s="785"/>
      <c r="AP182" s="785"/>
      <c r="AQ182" s="785"/>
      <c r="AR182" s="785"/>
      <c r="AS182" s="785"/>
      <c r="AT182" s="785"/>
      <c r="AU182" s="785"/>
      <c r="AV182" s="785"/>
      <c r="AW182" s="785"/>
      <c r="AX182" s="785"/>
      <c r="AY182" s="785"/>
      <c r="AZ182" s="785"/>
      <c r="BA182" s="785"/>
      <c r="BB182" s="785"/>
      <c r="BC182" s="785"/>
      <c r="BD182" s="785"/>
      <c r="BE182" s="785"/>
      <c r="BF182" s="785"/>
      <c r="BG182" s="785"/>
      <c r="BH182" s="785"/>
      <c r="BI182" s="785"/>
      <c r="BJ182" s="785"/>
      <c r="BK182" s="785"/>
      <c r="BL182" s="785"/>
      <c r="BM182" s="785"/>
      <c r="BN182" s="785"/>
      <c r="BO182" s="785"/>
      <c r="BP182" s="785"/>
      <c r="BQ182" s="785"/>
      <c r="BR182" s="785"/>
      <c r="BS182" s="785"/>
      <c r="BT182" s="785"/>
      <c r="BU182" s="785"/>
      <c r="BV182" s="785"/>
      <c r="BW182" s="785"/>
      <c r="BX182" s="785"/>
      <c r="BY182" s="785"/>
      <c r="BZ182" s="785"/>
    </row>
    <row r="183" spans="39:78" s="143" customFormat="1">
      <c r="AM183" s="785"/>
      <c r="AN183" s="785"/>
      <c r="AO183" s="785"/>
      <c r="AP183" s="785"/>
      <c r="AQ183" s="785"/>
      <c r="AR183" s="785"/>
      <c r="AS183" s="785"/>
      <c r="AT183" s="785"/>
      <c r="AU183" s="785"/>
      <c r="AV183" s="785"/>
      <c r="AW183" s="785"/>
      <c r="AX183" s="785"/>
      <c r="AY183" s="785"/>
      <c r="AZ183" s="785"/>
      <c r="BA183" s="785"/>
      <c r="BB183" s="785"/>
      <c r="BC183" s="785"/>
      <c r="BD183" s="785"/>
      <c r="BE183" s="785"/>
      <c r="BF183" s="785"/>
      <c r="BG183" s="785"/>
      <c r="BH183" s="785"/>
      <c r="BI183" s="785"/>
      <c r="BJ183" s="785"/>
      <c r="BK183" s="785"/>
      <c r="BL183" s="785"/>
      <c r="BM183" s="785"/>
      <c r="BN183" s="785"/>
      <c r="BO183" s="785"/>
      <c r="BP183" s="785"/>
      <c r="BQ183" s="785"/>
      <c r="BR183" s="785"/>
      <c r="BS183" s="785"/>
      <c r="BT183" s="785"/>
      <c r="BU183" s="785"/>
      <c r="BV183" s="785"/>
      <c r="BW183" s="785"/>
      <c r="BX183" s="785"/>
      <c r="BY183" s="785"/>
      <c r="BZ183" s="785"/>
    </row>
    <row r="184" spans="39:78" s="143" customFormat="1">
      <c r="AM184" s="785"/>
      <c r="AN184" s="785"/>
      <c r="AO184" s="785"/>
      <c r="AP184" s="785"/>
      <c r="AQ184" s="785"/>
      <c r="AR184" s="785"/>
      <c r="AS184" s="785"/>
      <c r="AT184" s="785"/>
      <c r="AU184" s="785"/>
      <c r="AV184" s="785"/>
      <c r="AW184" s="785"/>
      <c r="AX184" s="785"/>
      <c r="AY184" s="785"/>
      <c r="AZ184" s="785"/>
      <c r="BA184" s="785"/>
      <c r="BB184" s="785"/>
      <c r="BC184" s="785"/>
      <c r="BD184" s="785"/>
      <c r="BE184" s="785"/>
      <c r="BF184" s="785"/>
      <c r="BG184" s="785"/>
      <c r="BH184" s="785"/>
      <c r="BI184" s="785"/>
      <c r="BJ184" s="785"/>
      <c r="BK184" s="785"/>
      <c r="BL184" s="785"/>
      <c r="BM184" s="785"/>
      <c r="BN184" s="785"/>
      <c r="BO184" s="785"/>
      <c r="BP184" s="785"/>
      <c r="BQ184" s="785"/>
      <c r="BR184" s="785"/>
      <c r="BS184" s="785"/>
      <c r="BT184" s="785"/>
      <c r="BU184" s="785"/>
      <c r="BV184" s="785"/>
      <c r="BW184" s="785"/>
      <c r="BX184" s="785"/>
      <c r="BY184" s="785"/>
      <c r="BZ184" s="785"/>
    </row>
    <row r="185" spans="39:78" s="143" customFormat="1">
      <c r="AM185" s="785"/>
      <c r="AN185" s="785"/>
      <c r="AO185" s="785"/>
      <c r="AP185" s="785"/>
      <c r="AQ185" s="785"/>
      <c r="AR185" s="785"/>
      <c r="AS185" s="785"/>
      <c r="AT185" s="785"/>
      <c r="AU185" s="785"/>
      <c r="AV185" s="785"/>
      <c r="AW185" s="785"/>
      <c r="AX185" s="785"/>
      <c r="AY185" s="785"/>
      <c r="AZ185" s="785"/>
      <c r="BA185" s="785"/>
      <c r="BB185" s="785"/>
      <c r="BC185" s="785"/>
      <c r="BD185" s="785"/>
      <c r="BE185" s="785"/>
      <c r="BF185" s="785"/>
      <c r="BG185" s="785"/>
      <c r="BH185" s="785"/>
      <c r="BI185" s="785"/>
      <c r="BJ185" s="785"/>
      <c r="BK185" s="785"/>
      <c r="BL185" s="785"/>
      <c r="BM185" s="785"/>
      <c r="BN185" s="785"/>
      <c r="BO185" s="785"/>
      <c r="BP185" s="785"/>
      <c r="BQ185" s="785"/>
      <c r="BR185" s="785"/>
      <c r="BS185" s="785"/>
      <c r="BT185" s="785"/>
      <c r="BU185" s="785"/>
      <c r="BV185" s="785"/>
      <c r="BW185" s="785"/>
      <c r="BX185" s="785"/>
      <c r="BY185" s="785"/>
      <c r="BZ185" s="785"/>
    </row>
    <row r="186" spans="39:78" s="143" customFormat="1">
      <c r="AM186" s="785"/>
      <c r="AN186" s="785"/>
      <c r="AO186" s="785"/>
      <c r="AP186" s="785"/>
      <c r="AQ186" s="785"/>
      <c r="AR186" s="785"/>
      <c r="AS186" s="785"/>
      <c r="AT186" s="785"/>
      <c r="AU186" s="785"/>
      <c r="AV186" s="785"/>
      <c r="AW186" s="785"/>
      <c r="AX186" s="785"/>
      <c r="AY186" s="785"/>
      <c r="AZ186" s="785"/>
      <c r="BA186" s="785"/>
      <c r="BB186" s="785"/>
      <c r="BC186" s="785"/>
      <c r="BD186" s="785"/>
      <c r="BE186" s="785"/>
      <c r="BF186" s="785"/>
      <c r="BG186" s="785"/>
      <c r="BH186" s="785"/>
      <c r="BI186" s="785"/>
      <c r="BJ186" s="785"/>
      <c r="BK186" s="785"/>
      <c r="BL186" s="785"/>
      <c r="BM186" s="785"/>
      <c r="BN186" s="785"/>
      <c r="BO186" s="785"/>
      <c r="BP186" s="785"/>
      <c r="BQ186" s="785"/>
      <c r="BR186" s="785"/>
      <c r="BS186" s="785"/>
      <c r="BT186" s="785"/>
      <c r="BU186" s="785"/>
      <c r="BV186" s="785"/>
      <c r="BW186" s="785"/>
      <c r="BX186" s="785"/>
      <c r="BY186" s="785"/>
      <c r="BZ186" s="785"/>
    </row>
    <row r="187" spans="39:78" s="143" customFormat="1">
      <c r="AM187" s="785"/>
      <c r="AN187" s="785"/>
      <c r="AO187" s="785"/>
      <c r="AP187" s="785"/>
      <c r="AQ187" s="785"/>
      <c r="AR187" s="785"/>
      <c r="AS187" s="785"/>
      <c r="AT187" s="785"/>
      <c r="AU187" s="785"/>
      <c r="AV187" s="785"/>
      <c r="AW187" s="785"/>
      <c r="AX187" s="785"/>
      <c r="AY187" s="785"/>
      <c r="AZ187" s="785"/>
      <c r="BA187" s="785"/>
      <c r="BB187" s="785"/>
      <c r="BC187" s="785"/>
      <c r="BD187" s="785"/>
      <c r="BE187" s="785"/>
      <c r="BF187" s="785"/>
      <c r="BG187" s="785"/>
      <c r="BH187" s="785"/>
      <c r="BI187" s="785"/>
      <c r="BJ187" s="785"/>
      <c r="BK187" s="785"/>
      <c r="BL187" s="785"/>
      <c r="BM187" s="785"/>
      <c r="BN187" s="785"/>
      <c r="BO187" s="785"/>
      <c r="BP187" s="785"/>
      <c r="BQ187" s="785"/>
      <c r="BR187" s="785"/>
      <c r="BS187" s="785"/>
      <c r="BT187" s="785"/>
      <c r="BU187" s="785"/>
      <c r="BV187" s="785"/>
      <c r="BW187" s="785"/>
      <c r="BX187" s="785"/>
      <c r="BY187" s="785"/>
      <c r="BZ187" s="785"/>
    </row>
    <row r="188" spans="39:78" s="143" customFormat="1">
      <c r="AM188" s="785"/>
      <c r="AN188" s="785"/>
      <c r="AO188" s="785"/>
      <c r="AP188" s="785"/>
      <c r="AQ188" s="785"/>
      <c r="AR188" s="785"/>
      <c r="AS188" s="785"/>
      <c r="AT188" s="785"/>
      <c r="AU188" s="785"/>
      <c r="AV188" s="785"/>
      <c r="AW188" s="785"/>
      <c r="AX188" s="785"/>
      <c r="AY188" s="785"/>
      <c r="AZ188" s="785"/>
      <c r="BA188" s="785"/>
      <c r="BB188" s="785"/>
      <c r="BC188" s="785"/>
      <c r="BD188" s="785"/>
      <c r="BE188" s="785"/>
      <c r="BF188" s="785"/>
      <c r="BG188" s="785"/>
      <c r="BH188" s="785"/>
      <c r="BI188" s="785"/>
      <c r="BJ188" s="785"/>
      <c r="BK188" s="785"/>
      <c r="BL188" s="785"/>
      <c r="BM188" s="785"/>
      <c r="BN188" s="785"/>
      <c r="BO188" s="785"/>
      <c r="BP188" s="785"/>
      <c r="BQ188" s="785"/>
      <c r="BR188" s="785"/>
      <c r="BS188" s="785"/>
      <c r="BT188" s="785"/>
      <c r="BU188" s="785"/>
      <c r="BV188" s="785"/>
      <c r="BW188" s="785"/>
      <c r="BX188" s="785"/>
      <c r="BY188" s="785"/>
      <c r="BZ188" s="785"/>
    </row>
    <row r="189" spans="39:78" s="143" customFormat="1">
      <c r="AM189" s="785"/>
      <c r="AN189" s="785"/>
      <c r="AO189" s="785"/>
      <c r="AP189" s="785"/>
      <c r="AQ189" s="785"/>
      <c r="AR189" s="785"/>
      <c r="AS189" s="785"/>
      <c r="AT189" s="785"/>
      <c r="AU189" s="785"/>
      <c r="AV189" s="785"/>
      <c r="AW189" s="785"/>
      <c r="AX189" s="785"/>
      <c r="AY189" s="785"/>
      <c r="AZ189" s="785"/>
      <c r="BA189" s="785"/>
      <c r="BB189" s="785"/>
      <c r="BC189" s="785"/>
      <c r="BD189" s="785"/>
      <c r="BE189" s="785"/>
      <c r="BF189" s="785"/>
      <c r="BG189" s="785"/>
      <c r="BH189" s="785"/>
      <c r="BI189" s="785"/>
      <c r="BJ189" s="785"/>
      <c r="BK189" s="785"/>
      <c r="BL189" s="785"/>
      <c r="BM189" s="785"/>
      <c r="BN189" s="785"/>
      <c r="BO189" s="785"/>
      <c r="BP189" s="785"/>
      <c r="BQ189" s="785"/>
      <c r="BR189" s="785"/>
      <c r="BS189" s="785"/>
      <c r="BT189" s="785"/>
      <c r="BU189" s="785"/>
      <c r="BV189" s="785"/>
      <c r="BW189" s="785"/>
      <c r="BX189" s="785"/>
      <c r="BY189" s="785"/>
      <c r="BZ189" s="785"/>
    </row>
    <row r="190" spans="39:78" s="143" customFormat="1">
      <c r="AM190" s="785"/>
      <c r="AN190" s="785"/>
      <c r="AO190" s="785"/>
      <c r="AP190" s="785"/>
      <c r="AQ190" s="785"/>
      <c r="AR190" s="785"/>
      <c r="AS190" s="785"/>
      <c r="AT190" s="785"/>
      <c r="AU190" s="785"/>
      <c r="AV190" s="785"/>
      <c r="AW190" s="785"/>
      <c r="AX190" s="785"/>
      <c r="AY190" s="785"/>
      <c r="AZ190" s="785"/>
      <c r="BA190" s="785"/>
      <c r="BB190" s="785"/>
      <c r="BC190" s="785"/>
      <c r="BD190" s="785"/>
      <c r="BE190" s="785"/>
      <c r="BF190" s="785"/>
      <c r="BG190" s="785"/>
      <c r="BH190" s="785"/>
      <c r="BI190" s="785"/>
      <c r="BJ190" s="785"/>
      <c r="BK190" s="785"/>
      <c r="BL190" s="785"/>
      <c r="BM190" s="785"/>
      <c r="BN190" s="785"/>
      <c r="BO190" s="785"/>
      <c r="BP190" s="785"/>
      <c r="BQ190" s="785"/>
      <c r="BR190" s="785"/>
      <c r="BS190" s="785"/>
      <c r="BT190" s="785"/>
      <c r="BU190" s="785"/>
      <c r="BV190" s="785"/>
      <c r="BW190" s="785"/>
      <c r="BX190" s="785"/>
      <c r="BY190" s="785"/>
      <c r="BZ190" s="785"/>
    </row>
    <row r="191" spans="39:78" s="143" customFormat="1">
      <c r="AM191" s="785"/>
      <c r="AN191" s="785"/>
      <c r="AO191" s="785"/>
      <c r="AP191" s="785"/>
      <c r="AQ191" s="785"/>
      <c r="AR191" s="785"/>
      <c r="AS191" s="785"/>
      <c r="AT191" s="785"/>
      <c r="AU191" s="785"/>
      <c r="AV191" s="785"/>
      <c r="AW191" s="785"/>
      <c r="AX191" s="785"/>
      <c r="AY191" s="785"/>
      <c r="AZ191" s="785"/>
      <c r="BA191" s="785"/>
      <c r="BB191" s="785"/>
      <c r="BC191" s="785"/>
      <c r="BD191" s="785"/>
      <c r="BE191" s="785"/>
      <c r="BF191" s="785"/>
      <c r="BG191" s="785"/>
      <c r="BH191" s="785"/>
      <c r="BI191" s="785"/>
      <c r="BJ191" s="785"/>
      <c r="BK191" s="785"/>
      <c r="BL191" s="785"/>
      <c r="BM191" s="785"/>
      <c r="BN191" s="785"/>
      <c r="BO191" s="785"/>
      <c r="BP191" s="785"/>
      <c r="BQ191" s="785"/>
      <c r="BR191" s="785"/>
      <c r="BS191" s="785"/>
      <c r="BT191" s="785"/>
      <c r="BU191" s="785"/>
      <c r="BV191" s="785"/>
      <c r="BW191" s="785"/>
      <c r="BX191" s="785"/>
      <c r="BY191" s="785"/>
      <c r="BZ191" s="785"/>
    </row>
    <row r="192" spans="39:78" s="143" customFormat="1">
      <c r="AM192" s="785"/>
      <c r="AN192" s="785"/>
      <c r="AO192" s="785"/>
      <c r="AP192" s="785"/>
      <c r="AQ192" s="785"/>
      <c r="AR192" s="785"/>
      <c r="AS192" s="785"/>
      <c r="AT192" s="785"/>
      <c r="AU192" s="785"/>
      <c r="AV192" s="785"/>
      <c r="AW192" s="785"/>
      <c r="AX192" s="785"/>
      <c r="AY192" s="785"/>
      <c r="AZ192" s="785"/>
      <c r="BA192" s="785"/>
      <c r="BB192" s="785"/>
      <c r="BC192" s="785"/>
      <c r="BD192" s="785"/>
      <c r="BE192" s="785"/>
      <c r="BF192" s="785"/>
      <c r="BG192" s="785"/>
      <c r="BH192" s="785"/>
      <c r="BI192" s="785"/>
      <c r="BJ192" s="785"/>
      <c r="BK192" s="785"/>
      <c r="BL192" s="785"/>
      <c r="BM192" s="785"/>
      <c r="BN192" s="785"/>
      <c r="BO192" s="785"/>
      <c r="BP192" s="785"/>
      <c r="BQ192" s="785"/>
      <c r="BR192" s="785"/>
      <c r="BS192" s="785"/>
      <c r="BT192" s="785"/>
      <c r="BU192" s="785"/>
      <c r="BV192" s="785"/>
      <c r="BW192" s="785"/>
      <c r="BX192" s="785"/>
      <c r="BY192" s="785"/>
      <c r="BZ192" s="785"/>
    </row>
    <row r="193" spans="39:78" s="143" customFormat="1">
      <c r="AM193" s="785"/>
      <c r="AN193" s="785"/>
      <c r="AO193" s="785"/>
      <c r="AP193" s="785"/>
      <c r="AQ193" s="785"/>
      <c r="AR193" s="785"/>
      <c r="AS193" s="785"/>
      <c r="AT193" s="785"/>
      <c r="AU193" s="785"/>
      <c r="AV193" s="785"/>
      <c r="AW193" s="785"/>
      <c r="AX193" s="785"/>
      <c r="AY193" s="785"/>
      <c r="AZ193" s="785"/>
      <c r="BA193" s="785"/>
      <c r="BB193" s="785"/>
      <c r="BC193" s="785"/>
      <c r="BD193" s="785"/>
      <c r="BE193" s="785"/>
      <c r="BF193" s="785"/>
      <c r="BG193" s="785"/>
      <c r="BH193" s="785"/>
      <c r="BI193" s="785"/>
      <c r="BJ193" s="785"/>
      <c r="BK193" s="785"/>
      <c r="BL193" s="785"/>
      <c r="BM193" s="785"/>
      <c r="BN193" s="785"/>
      <c r="BO193" s="785"/>
      <c r="BP193" s="785"/>
      <c r="BQ193" s="785"/>
      <c r="BR193" s="785"/>
      <c r="BS193" s="785"/>
      <c r="BT193" s="785"/>
      <c r="BU193" s="785"/>
      <c r="BV193" s="785"/>
      <c r="BW193" s="785"/>
      <c r="BX193" s="785"/>
      <c r="BY193" s="785"/>
      <c r="BZ193" s="785"/>
    </row>
    <row r="194" spans="39:78" s="143" customFormat="1">
      <c r="AM194" s="785"/>
      <c r="AN194" s="785"/>
      <c r="AO194" s="785"/>
      <c r="AP194" s="785"/>
      <c r="AQ194" s="785"/>
      <c r="AR194" s="785"/>
      <c r="AS194" s="785"/>
      <c r="AT194" s="785"/>
      <c r="AU194" s="785"/>
      <c r="AV194" s="785"/>
      <c r="AW194" s="785"/>
      <c r="AX194" s="785"/>
      <c r="AY194" s="785"/>
      <c r="AZ194" s="785"/>
      <c r="BA194" s="785"/>
      <c r="BB194" s="785"/>
      <c r="BC194" s="785"/>
      <c r="BD194" s="785"/>
      <c r="BE194" s="785"/>
      <c r="BF194" s="785"/>
      <c r="BG194" s="785"/>
      <c r="BH194" s="785"/>
      <c r="BI194" s="785"/>
      <c r="BJ194" s="785"/>
      <c r="BK194" s="785"/>
      <c r="BL194" s="785"/>
      <c r="BM194" s="785"/>
      <c r="BN194" s="785"/>
      <c r="BO194" s="785"/>
      <c r="BP194" s="785"/>
      <c r="BQ194" s="785"/>
      <c r="BR194" s="785"/>
      <c r="BS194" s="785"/>
      <c r="BT194" s="785"/>
      <c r="BU194" s="785"/>
      <c r="BV194" s="785"/>
      <c r="BW194" s="785"/>
      <c r="BX194" s="785"/>
      <c r="BY194" s="785"/>
      <c r="BZ194" s="785"/>
    </row>
    <row r="195" spans="39:78" s="143" customFormat="1">
      <c r="AM195" s="785"/>
      <c r="AN195" s="785"/>
      <c r="AO195" s="785"/>
      <c r="AP195" s="785"/>
      <c r="AQ195" s="785"/>
      <c r="AR195" s="785"/>
      <c r="AS195" s="785"/>
      <c r="AT195" s="785"/>
      <c r="AU195" s="785"/>
      <c r="AV195" s="785"/>
      <c r="AW195" s="785"/>
      <c r="AX195" s="785"/>
      <c r="AY195" s="785"/>
      <c r="AZ195" s="785"/>
      <c r="BA195" s="785"/>
      <c r="BB195" s="785"/>
      <c r="BC195" s="785"/>
      <c r="BD195" s="785"/>
      <c r="BE195" s="785"/>
      <c r="BF195" s="785"/>
      <c r="BG195" s="785"/>
      <c r="BH195" s="785"/>
      <c r="BI195" s="785"/>
      <c r="BJ195" s="785"/>
      <c r="BK195" s="785"/>
      <c r="BL195" s="785"/>
      <c r="BM195" s="785"/>
      <c r="BN195" s="785"/>
      <c r="BO195" s="785"/>
      <c r="BP195" s="785"/>
      <c r="BQ195" s="785"/>
      <c r="BR195" s="785"/>
      <c r="BS195" s="785"/>
      <c r="BT195" s="785"/>
      <c r="BU195" s="785"/>
      <c r="BV195" s="785"/>
      <c r="BW195" s="785"/>
      <c r="BX195" s="785"/>
      <c r="BY195" s="785"/>
      <c r="BZ195" s="785"/>
    </row>
    <row r="196" spans="39:78" s="143" customFormat="1">
      <c r="AM196" s="785"/>
      <c r="AN196" s="785"/>
      <c r="AO196" s="785"/>
      <c r="AP196" s="785"/>
      <c r="AQ196" s="785"/>
      <c r="AR196" s="785"/>
      <c r="AS196" s="785"/>
      <c r="AT196" s="785"/>
      <c r="AU196" s="785"/>
      <c r="AV196" s="785"/>
      <c r="AW196" s="785"/>
      <c r="AX196" s="785"/>
      <c r="AY196" s="785"/>
      <c r="AZ196" s="785"/>
      <c r="BA196" s="785"/>
      <c r="BB196" s="785"/>
      <c r="BC196" s="785"/>
      <c r="BD196" s="785"/>
      <c r="BE196" s="785"/>
      <c r="BF196" s="785"/>
      <c r="BG196" s="785"/>
      <c r="BH196" s="785"/>
      <c r="BI196" s="785"/>
      <c r="BJ196" s="785"/>
      <c r="BK196" s="785"/>
      <c r="BL196" s="785"/>
      <c r="BM196" s="785"/>
      <c r="BN196" s="785"/>
      <c r="BO196" s="785"/>
      <c r="BP196" s="785"/>
      <c r="BQ196" s="785"/>
      <c r="BR196" s="785"/>
      <c r="BS196" s="785"/>
      <c r="BT196" s="785"/>
      <c r="BU196" s="785"/>
      <c r="BV196" s="785"/>
      <c r="BW196" s="785"/>
      <c r="BX196" s="785"/>
      <c r="BY196" s="785"/>
      <c r="BZ196" s="785"/>
    </row>
    <row r="197" spans="39:78" s="143" customFormat="1">
      <c r="AM197" s="785"/>
      <c r="AN197" s="785"/>
      <c r="AO197" s="785"/>
      <c r="AP197" s="785"/>
      <c r="AQ197" s="785"/>
      <c r="AR197" s="785"/>
      <c r="AS197" s="785"/>
      <c r="AT197" s="785"/>
      <c r="AU197" s="785"/>
      <c r="AV197" s="785"/>
      <c r="AW197" s="785"/>
      <c r="AX197" s="785"/>
      <c r="AY197" s="785"/>
      <c r="AZ197" s="785"/>
      <c r="BA197" s="785"/>
      <c r="BB197" s="785"/>
      <c r="BC197" s="785"/>
      <c r="BD197" s="785"/>
      <c r="BE197" s="785"/>
      <c r="BF197" s="785"/>
      <c r="BG197" s="785"/>
      <c r="BH197" s="785"/>
      <c r="BI197" s="785"/>
      <c r="BJ197" s="785"/>
      <c r="BK197" s="785"/>
      <c r="BL197" s="785"/>
      <c r="BM197" s="785"/>
      <c r="BN197" s="785"/>
      <c r="BO197" s="785"/>
      <c r="BP197" s="785"/>
      <c r="BQ197" s="785"/>
      <c r="BR197" s="785"/>
      <c r="BS197" s="785"/>
      <c r="BT197" s="785"/>
      <c r="BU197" s="785"/>
      <c r="BV197" s="785"/>
      <c r="BW197" s="785"/>
      <c r="BX197" s="785"/>
      <c r="BY197" s="785"/>
      <c r="BZ197" s="785"/>
    </row>
    <row r="198" spans="39:78" s="143" customFormat="1">
      <c r="AM198" s="785"/>
      <c r="AN198" s="785"/>
      <c r="AO198" s="785"/>
      <c r="AP198" s="785"/>
      <c r="AQ198" s="785"/>
      <c r="AR198" s="785"/>
      <c r="AS198" s="785"/>
      <c r="AT198" s="785"/>
      <c r="AU198" s="785"/>
      <c r="AV198" s="785"/>
      <c r="AW198" s="785"/>
      <c r="AX198" s="785"/>
      <c r="AY198" s="785"/>
      <c r="AZ198" s="785"/>
      <c r="BA198" s="785"/>
      <c r="BB198" s="785"/>
      <c r="BC198" s="785"/>
      <c r="BD198" s="785"/>
      <c r="BE198" s="785"/>
      <c r="BF198" s="785"/>
      <c r="BG198" s="785"/>
      <c r="BH198" s="785"/>
      <c r="BI198" s="785"/>
      <c r="BJ198" s="785"/>
      <c r="BK198" s="785"/>
      <c r="BL198" s="785"/>
      <c r="BM198" s="785"/>
      <c r="BN198" s="785"/>
      <c r="BO198" s="785"/>
      <c r="BP198" s="785"/>
      <c r="BQ198" s="785"/>
      <c r="BR198" s="785"/>
      <c r="BS198" s="785"/>
      <c r="BT198" s="785"/>
      <c r="BU198" s="785"/>
      <c r="BV198" s="785"/>
      <c r="BW198" s="785"/>
      <c r="BX198" s="785"/>
      <c r="BY198" s="785"/>
      <c r="BZ198" s="785"/>
    </row>
    <row r="199" spans="39:78" s="143" customFormat="1">
      <c r="AM199" s="785"/>
      <c r="AN199" s="785"/>
      <c r="AO199" s="785"/>
      <c r="AP199" s="785"/>
      <c r="AQ199" s="785"/>
      <c r="AR199" s="785"/>
      <c r="AS199" s="785"/>
      <c r="AT199" s="785"/>
      <c r="AU199" s="785"/>
      <c r="AV199" s="785"/>
      <c r="AW199" s="785"/>
      <c r="AX199" s="785"/>
      <c r="AY199" s="785"/>
      <c r="AZ199" s="785"/>
      <c r="BA199" s="785"/>
      <c r="BB199" s="785"/>
      <c r="BC199" s="785"/>
      <c r="BD199" s="785"/>
      <c r="BE199" s="785"/>
      <c r="BF199" s="785"/>
      <c r="BG199" s="785"/>
      <c r="BH199" s="785"/>
      <c r="BI199" s="785"/>
      <c r="BJ199" s="785"/>
      <c r="BK199" s="785"/>
      <c r="BL199" s="785"/>
      <c r="BM199" s="785"/>
      <c r="BN199" s="785"/>
      <c r="BO199" s="785"/>
      <c r="BP199" s="785"/>
      <c r="BQ199" s="785"/>
      <c r="BR199" s="785"/>
      <c r="BS199" s="785"/>
      <c r="BT199" s="785"/>
      <c r="BU199" s="785"/>
      <c r="BV199" s="785"/>
      <c r="BW199" s="785"/>
      <c r="BX199" s="785"/>
      <c r="BY199" s="785"/>
      <c r="BZ199" s="785"/>
    </row>
    <row r="200" spans="39:78" s="143" customFormat="1">
      <c r="AM200" s="785"/>
      <c r="AN200" s="785"/>
      <c r="AO200" s="785"/>
      <c r="AP200" s="785"/>
      <c r="AQ200" s="785"/>
      <c r="AR200" s="785"/>
      <c r="AS200" s="785"/>
      <c r="AT200" s="785"/>
      <c r="AU200" s="785"/>
      <c r="AV200" s="785"/>
      <c r="AW200" s="785"/>
      <c r="AX200" s="785"/>
      <c r="AY200" s="785"/>
      <c r="AZ200" s="785"/>
      <c r="BA200" s="785"/>
      <c r="BB200" s="785"/>
      <c r="BC200" s="785"/>
      <c r="BD200" s="785"/>
      <c r="BE200" s="785"/>
      <c r="BF200" s="785"/>
      <c r="BG200" s="785"/>
      <c r="BH200" s="785"/>
      <c r="BI200" s="785"/>
      <c r="BJ200" s="785"/>
      <c r="BK200" s="785"/>
      <c r="BL200" s="785"/>
      <c r="BM200" s="785"/>
      <c r="BN200" s="785"/>
      <c r="BO200" s="785"/>
      <c r="BP200" s="785"/>
      <c r="BQ200" s="785"/>
      <c r="BR200" s="785"/>
      <c r="BS200" s="785"/>
      <c r="BT200" s="785"/>
      <c r="BU200" s="785"/>
      <c r="BV200" s="785"/>
      <c r="BW200" s="785"/>
      <c r="BX200" s="785"/>
      <c r="BY200" s="785"/>
      <c r="BZ200" s="785"/>
    </row>
    <row r="201" spans="39:78" s="143" customFormat="1">
      <c r="AM201" s="785"/>
      <c r="AN201" s="785"/>
      <c r="AO201" s="785"/>
      <c r="AP201" s="785"/>
      <c r="AQ201" s="785"/>
      <c r="AR201" s="785"/>
      <c r="AS201" s="785"/>
      <c r="AT201" s="785"/>
      <c r="AU201" s="785"/>
      <c r="AV201" s="785"/>
      <c r="AW201" s="785"/>
      <c r="AX201" s="785"/>
      <c r="AY201" s="785"/>
      <c r="AZ201" s="785"/>
      <c r="BA201" s="785"/>
      <c r="BB201" s="785"/>
      <c r="BC201" s="785"/>
      <c r="BD201" s="785"/>
      <c r="BE201" s="785"/>
      <c r="BF201" s="785"/>
      <c r="BG201" s="785"/>
      <c r="BH201" s="785"/>
      <c r="BI201" s="785"/>
      <c r="BJ201" s="785"/>
      <c r="BK201" s="785"/>
      <c r="BL201" s="785"/>
      <c r="BM201" s="785"/>
      <c r="BN201" s="785"/>
      <c r="BO201" s="785"/>
      <c r="BP201" s="785"/>
      <c r="BQ201" s="785"/>
      <c r="BR201" s="785"/>
      <c r="BS201" s="785"/>
      <c r="BT201" s="785"/>
      <c r="BU201" s="785"/>
      <c r="BV201" s="785"/>
      <c r="BW201" s="785"/>
      <c r="BX201" s="785"/>
      <c r="BY201" s="785"/>
      <c r="BZ201" s="785"/>
    </row>
    <row r="202" spans="39:78" s="143" customFormat="1">
      <c r="AM202" s="785"/>
      <c r="AN202" s="785"/>
      <c r="AO202" s="785"/>
      <c r="AP202" s="785"/>
      <c r="AQ202" s="785"/>
      <c r="AR202" s="785"/>
      <c r="AS202" s="785"/>
      <c r="AT202" s="785"/>
      <c r="AU202" s="785"/>
      <c r="AV202" s="785"/>
      <c r="AW202" s="785"/>
      <c r="AX202" s="785"/>
      <c r="AY202" s="785"/>
      <c r="AZ202" s="785"/>
      <c r="BA202" s="785"/>
      <c r="BB202" s="785"/>
      <c r="BC202" s="785"/>
      <c r="BD202" s="785"/>
      <c r="BE202" s="785"/>
      <c r="BF202" s="785"/>
      <c r="BG202" s="785"/>
      <c r="BH202" s="785"/>
      <c r="BI202" s="785"/>
      <c r="BJ202" s="785"/>
      <c r="BK202" s="785"/>
      <c r="BL202" s="785"/>
      <c r="BM202" s="785"/>
      <c r="BN202" s="785"/>
      <c r="BO202" s="785"/>
      <c r="BP202" s="785"/>
      <c r="BQ202" s="785"/>
      <c r="BR202" s="785"/>
      <c r="BS202" s="785"/>
      <c r="BT202" s="785"/>
      <c r="BU202" s="785"/>
      <c r="BV202" s="785"/>
      <c r="BW202" s="785"/>
      <c r="BX202" s="785"/>
      <c r="BY202" s="785"/>
      <c r="BZ202" s="785"/>
    </row>
    <row r="203" spans="39:78" s="143" customFormat="1">
      <c r="AM203" s="785"/>
      <c r="AN203" s="785"/>
      <c r="AO203" s="785"/>
      <c r="AP203" s="785"/>
      <c r="AQ203" s="785"/>
      <c r="AR203" s="785"/>
      <c r="AS203" s="785"/>
      <c r="AT203" s="785"/>
      <c r="AU203" s="785"/>
      <c r="AV203" s="785"/>
      <c r="AW203" s="785"/>
      <c r="AX203" s="785"/>
      <c r="AY203" s="785"/>
      <c r="AZ203" s="785"/>
      <c r="BA203" s="785"/>
      <c r="BB203" s="785"/>
      <c r="BC203" s="785"/>
      <c r="BD203" s="785"/>
      <c r="BE203" s="785"/>
      <c r="BF203" s="785"/>
      <c r="BG203" s="785"/>
      <c r="BH203" s="785"/>
      <c r="BI203" s="785"/>
      <c r="BJ203" s="785"/>
      <c r="BK203" s="785"/>
      <c r="BL203" s="785"/>
      <c r="BM203" s="785"/>
      <c r="BN203" s="785"/>
      <c r="BO203" s="785"/>
      <c r="BP203" s="785"/>
      <c r="BQ203" s="785"/>
      <c r="BR203" s="785"/>
      <c r="BS203" s="785"/>
      <c r="BT203" s="785"/>
      <c r="BU203" s="785"/>
      <c r="BV203" s="785"/>
      <c r="BW203" s="785"/>
      <c r="BX203" s="785"/>
      <c r="BY203" s="785"/>
      <c r="BZ203" s="785"/>
    </row>
    <row r="204" spans="39:78" s="143" customFormat="1">
      <c r="AM204" s="785"/>
      <c r="AN204" s="785"/>
      <c r="AO204" s="785"/>
      <c r="AP204" s="785"/>
      <c r="AQ204" s="785"/>
      <c r="AR204" s="785"/>
      <c r="AS204" s="785"/>
      <c r="AT204" s="785"/>
      <c r="AU204" s="785"/>
      <c r="AV204" s="785"/>
      <c r="AW204" s="785"/>
      <c r="AX204" s="785"/>
      <c r="AY204" s="785"/>
      <c r="AZ204" s="785"/>
      <c r="BA204" s="785"/>
      <c r="BB204" s="785"/>
      <c r="BC204" s="785"/>
      <c r="BD204" s="785"/>
      <c r="BE204" s="785"/>
      <c r="BF204" s="785"/>
      <c r="BG204" s="785"/>
      <c r="BH204" s="785"/>
      <c r="BI204" s="785"/>
      <c r="BJ204" s="785"/>
      <c r="BK204" s="785"/>
      <c r="BL204" s="785"/>
      <c r="BM204" s="785"/>
      <c r="BN204" s="785"/>
      <c r="BO204" s="785"/>
      <c r="BP204" s="785"/>
      <c r="BQ204" s="785"/>
      <c r="BR204" s="785"/>
      <c r="BS204" s="785"/>
      <c r="BT204" s="785"/>
      <c r="BU204" s="785"/>
      <c r="BV204" s="785"/>
      <c r="BW204" s="785"/>
      <c r="BX204" s="785"/>
      <c r="BY204" s="785"/>
      <c r="BZ204" s="785"/>
    </row>
    <row r="205" spans="39:78" s="143" customFormat="1">
      <c r="AM205" s="785"/>
      <c r="AN205" s="785"/>
      <c r="AO205" s="785"/>
      <c r="AP205" s="785"/>
      <c r="AQ205" s="785"/>
      <c r="AR205" s="785"/>
      <c r="AS205" s="785"/>
      <c r="AT205" s="785"/>
      <c r="AU205" s="785"/>
      <c r="AV205" s="785"/>
      <c r="AW205" s="785"/>
      <c r="AX205" s="785"/>
      <c r="AY205" s="785"/>
      <c r="AZ205" s="785"/>
      <c r="BA205" s="785"/>
      <c r="BB205" s="785"/>
      <c r="BC205" s="785"/>
      <c r="BD205" s="785"/>
      <c r="BE205" s="785"/>
      <c r="BF205" s="785"/>
      <c r="BG205" s="785"/>
      <c r="BH205" s="785"/>
      <c r="BI205" s="785"/>
      <c r="BJ205" s="785"/>
      <c r="BK205" s="785"/>
      <c r="BL205" s="785"/>
      <c r="BM205" s="785"/>
      <c r="BN205" s="785"/>
      <c r="BO205" s="785"/>
      <c r="BP205" s="785"/>
      <c r="BQ205" s="785"/>
      <c r="BR205" s="785"/>
      <c r="BS205" s="785"/>
      <c r="BT205" s="785"/>
      <c r="BU205" s="785"/>
      <c r="BV205" s="785"/>
      <c r="BW205" s="785"/>
      <c r="BX205" s="785"/>
      <c r="BY205" s="785"/>
      <c r="BZ205" s="785"/>
    </row>
    <row r="206" spans="39:78" s="143" customFormat="1">
      <c r="AM206" s="785"/>
      <c r="AN206" s="785"/>
      <c r="AO206" s="785"/>
      <c r="AP206" s="785"/>
      <c r="AQ206" s="785"/>
      <c r="AR206" s="785"/>
      <c r="AS206" s="785"/>
      <c r="AT206" s="785"/>
      <c r="AU206" s="785"/>
      <c r="AV206" s="785"/>
      <c r="AW206" s="785"/>
      <c r="AX206" s="785"/>
      <c r="AY206" s="785"/>
      <c r="AZ206" s="785"/>
      <c r="BA206" s="785"/>
      <c r="BB206" s="785"/>
      <c r="BC206" s="785"/>
      <c r="BD206" s="785"/>
      <c r="BE206" s="785"/>
      <c r="BF206" s="785"/>
      <c r="BG206" s="785"/>
      <c r="BH206" s="785"/>
      <c r="BI206" s="785"/>
      <c r="BJ206" s="785"/>
      <c r="BK206" s="785"/>
      <c r="BL206" s="785"/>
      <c r="BM206" s="785"/>
      <c r="BN206" s="785"/>
      <c r="BO206" s="785"/>
      <c r="BP206" s="785"/>
      <c r="BQ206" s="785"/>
      <c r="BR206" s="785"/>
      <c r="BS206" s="785"/>
      <c r="BT206" s="785"/>
      <c r="BU206" s="785"/>
      <c r="BV206" s="785"/>
      <c r="BW206" s="785"/>
      <c r="BX206" s="785"/>
      <c r="BY206" s="785"/>
      <c r="BZ206" s="785"/>
    </row>
    <row r="207" spans="39:78" s="143" customFormat="1">
      <c r="AM207" s="785"/>
      <c r="AN207" s="785"/>
      <c r="AO207" s="785"/>
      <c r="AP207" s="785"/>
      <c r="AQ207" s="785"/>
      <c r="AR207" s="785"/>
      <c r="AS207" s="785"/>
      <c r="AT207" s="785"/>
      <c r="AU207" s="785"/>
      <c r="AV207" s="785"/>
      <c r="AW207" s="785"/>
      <c r="AX207" s="785"/>
      <c r="AY207" s="785"/>
      <c r="AZ207" s="785"/>
      <c r="BA207" s="785"/>
      <c r="BB207" s="785"/>
      <c r="BC207" s="785"/>
      <c r="BD207" s="785"/>
      <c r="BE207" s="785"/>
      <c r="BF207" s="785"/>
      <c r="BG207" s="785"/>
      <c r="BH207" s="785"/>
      <c r="BI207" s="785"/>
      <c r="BJ207" s="785"/>
      <c r="BK207" s="785"/>
      <c r="BL207" s="785"/>
      <c r="BM207" s="785"/>
      <c r="BN207" s="785"/>
      <c r="BO207" s="785"/>
      <c r="BP207" s="785"/>
      <c r="BQ207" s="785"/>
      <c r="BR207" s="785"/>
      <c r="BS207" s="785"/>
      <c r="BT207" s="785"/>
      <c r="BU207" s="785"/>
      <c r="BV207" s="785"/>
      <c r="BW207" s="785"/>
      <c r="BX207" s="785"/>
      <c r="BY207" s="785"/>
      <c r="BZ207" s="785"/>
    </row>
    <row r="208" spans="39:78" s="143" customFormat="1">
      <c r="AM208" s="785"/>
      <c r="AN208" s="785"/>
      <c r="AO208" s="785"/>
      <c r="AP208" s="785"/>
      <c r="AQ208" s="785"/>
      <c r="AR208" s="785"/>
      <c r="AS208" s="785"/>
      <c r="AT208" s="785"/>
      <c r="AU208" s="785"/>
      <c r="AV208" s="785"/>
      <c r="AW208" s="785"/>
      <c r="AX208" s="785"/>
      <c r="AY208" s="785"/>
      <c r="AZ208" s="785"/>
      <c r="BA208" s="785"/>
      <c r="BB208" s="785"/>
      <c r="BC208" s="785"/>
      <c r="BD208" s="785"/>
      <c r="BE208" s="785"/>
      <c r="BF208" s="785"/>
      <c r="BG208" s="785"/>
      <c r="BH208" s="785"/>
      <c r="BI208" s="785"/>
      <c r="BJ208" s="785"/>
      <c r="BK208" s="785"/>
      <c r="BL208" s="785"/>
      <c r="BM208" s="785"/>
      <c r="BN208" s="785"/>
      <c r="BO208" s="785"/>
      <c r="BP208" s="785"/>
      <c r="BQ208" s="785"/>
      <c r="BR208" s="785"/>
      <c r="BS208" s="785"/>
      <c r="BT208" s="785"/>
      <c r="BU208" s="785"/>
      <c r="BV208" s="785"/>
      <c r="BW208" s="785"/>
      <c r="BX208" s="785"/>
      <c r="BY208" s="785"/>
      <c r="BZ208" s="785"/>
    </row>
    <row r="209" spans="39:78" s="143" customFormat="1">
      <c r="AM209" s="785"/>
      <c r="AN209" s="785"/>
      <c r="AO209" s="785"/>
      <c r="AP209" s="785"/>
      <c r="AQ209" s="785"/>
      <c r="AR209" s="785"/>
      <c r="AS209" s="785"/>
      <c r="AT209" s="785"/>
      <c r="AU209" s="785"/>
      <c r="AV209" s="785"/>
      <c r="AW209" s="785"/>
      <c r="AX209" s="785"/>
      <c r="AY209" s="785"/>
      <c r="AZ209" s="785"/>
      <c r="BA209" s="785"/>
      <c r="BB209" s="785"/>
      <c r="BC209" s="785"/>
      <c r="BD209" s="785"/>
      <c r="BE209" s="785"/>
      <c r="BF209" s="785"/>
      <c r="BG209" s="785"/>
      <c r="BH209" s="785"/>
      <c r="BI209" s="785"/>
      <c r="BJ209" s="785"/>
      <c r="BK209" s="785"/>
      <c r="BL209" s="785"/>
      <c r="BM209" s="785"/>
      <c r="BN209" s="785"/>
      <c r="BO209" s="785"/>
      <c r="BP209" s="785"/>
      <c r="BQ209" s="785"/>
      <c r="BR209" s="785"/>
      <c r="BS209" s="785"/>
      <c r="BT209" s="785"/>
      <c r="BU209" s="785"/>
      <c r="BV209" s="785"/>
      <c r="BW209" s="785"/>
      <c r="BX209" s="785"/>
      <c r="BY209" s="785"/>
      <c r="BZ209" s="785"/>
    </row>
    <row r="210" spans="39:78" s="143" customFormat="1">
      <c r="AM210" s="785"/>
      <c r="AN210" s="785"/>
      <c r="AO210" s="785"/>
      <c r="AP210" s="785"/>
      <c r="AQ210" s="785"/>
      <c r="AR210" s="785"/>
      <c r="AS210" s="785"/>
      <c r="AT210" s="785"/>
      <c r="AU210" s="785"/>
      <c r="AV210" s="785"/>
      <c r="AW210" s="785"/>
      <c r="AX210" s="785"/>
      <c r="AY210" s="785"/>
      <c r="AZ210" s="785"/>
      <c r="BA210" s="785"/>
      <c r="BB210" s="785"/>
      <c r="BC210" s="785"/>
      <c r="BD210" s="785"/>
      <c r="BE210" s="785"/>
      <c r="BF210" s="785"/>
      <c r="BG210" s="785"/>
      <c r="BH210" s="785"/>
      <c r="BI210" s="785"/>
      <c r="BJ210" s="785"/>
      <c r="BK210" s="785"/>
      <c r="BL210" s="785"/>
      <c r="BM210" s="785"/>
      <c r="BN210" s="785"/>
      <c r="BO210" s="785"/>
      <c r="BP210" s="785"/>
      <c r="BQ210" s="785"/>
      <c r="BR210" s="785"/>
      <c r="BS210" s="785"/>
      <c r="BT210" s="785"/>
      <c r="BU210" s="785"/>
      <c r="BV210" s="785"/>
      <c r="BW210" s="785"/>
      <c r="BX210" s="785"/>
      <c r="BY210" s="785"/>
      <c r="BZ210" s="785"/>
    </row>
    <row r="211" spans="39:78" s="143" customFormat="1">
      <c r="AM211" s="785"/>
      <c r="AN211" s="785"/>
      <c r="AO211" s="785"/>
      <c r="AP211" s="785"/>
      <c r="AQ211" s="785"/>
      <c r="AR211" s="785"/>
      <c r="AS211" s="785"/>
      <c r="AT211" s="785"/>
      <c r="AU211" s="785"/>
      <c r="AV211" s="785"/>
      <c r="AW211" s="785"/>
      <c r="AX211" s="785"/>
      <c r="AY211" s="785"/>
      <c r="AZ211" s="785"/>
      <c r="BA211" s="785"/>
      <c r="BB211" s="785"/>
      <c r="BC211" s="785"/>
      <c r="BD211" s="785"/>
      <c r="BE211" s="785"/>
      <c r="BF211" s="785"/>
      <c r="BG211" s="785"/>
      <c r="BH211" s="785"/>
      <c r="BI211" s="785"/>
      <c r="BJ211" s="785"/>
      <c r="BK211" s="785"/>
      <c r="BL211" s="785"/>
      <c r="BM211" s="785"/>
      <c r="BN211" s="785"/>
      <c r="BO211" s="785"/>
      <c r="BP211" s="785"/>
      <c r="BQ211" s="785"/>
      <c r="BR211" s="785"/>
      <c r="BS211" s="785"/>
      <c r="BT211" s="785"/>
      <c r="BU211" s="785"/>
      <c r="BV211" s="785"/>
      <c r="BW211" s="785"/>
      <c r="BX211" s="785"/>
      <c r="BY211" s="785"/>
      <c r="BZ211" s="785"/>
    </row>
    <row r="212" spans="39:78" s="143" customFormat="1">
      <c r="AM212" s="785"/>
      <c r="AN212" s="785"/>
      <c r="AO212" s="785"/>
      <c r="AP212" s="785"/>
      <c r="AQ212" s="785"/>
      <c r="AR212" s="785"/>
      <c r="AS212" s="785"/>
      <c r="AT212" s="785"/>
      <c r="AU212" s="785"/>
      <c r="AV212" s="785"/>
      <c r="AW212" s="785"/>
      <c r="AX212" s="785"/>
      <c r="AY212" s="785"/>
      <c r="AZ212" s="785"/>
      <c r="BA212" s="785"/>
      <c r="BB212" s="785"/>
      <c r="BC212" s="785"/>
      <c r="BD212" s="785"/>
      <c r="BE212" s="785"/>
      <c r="BF212" s="785"/>
      <c r="BG212" s="785"/>
      <c r="BH212" s="785"/>
      <c r="BI212" s="785"/>
      <c r="BJ212" s="785"/>
      <c r="BK212" s="785"/>
      <c r="BL212" s="785"/>
      <c r="BM212" s="785"/>
      <c r="BN212" s="785"/>
      <c r="BO212" s="785"/>
      <c r="BP212" s="785"/>
      <c r="BQ212" s="785"/>
      <c r="BR212" s="785"/>
      <c r="BS212" s="785"/>
      <c r="BT212" s="785"/>
      <c r="BU212" s="785"/>
      <c r="BV212" s="785"/>
      <c r="BW212" s="785"/>
      <c r="BX212" s="785"/>
      <c r="BY212" s="785"/>
      <c r="BZ212" s="785"/>
    </row>
    <row r="213" spans="39:78" s="143" customFormat="1">
      <c r="AM213" s="785"/>
      <c r="AN213" s="785"/>
      <c r="AO213" s="785"/>
      <c r="AP213" s="785"/>
      <c r="AQ213" s="785"/>
      <c r="AR213" s="785"/>
      <c r="AS213" s="785"/>
      <c r="AT213" s="785"/>
      <c r="AU213" s="785"/>
      <c r="AV213" s="785"/>
      <c r="AW213" s="785"/>
      <c r="AX213" s="785"/>
      <c r="AY213" s="785"/>
      <c r="AZ213" s="785"/>
      <c r="BA213" s="785"/>
      <c r="BB213" s="785"/>
      <c r="BC213" s="785"/>
      <c r="BD213" s="785"/>
      <c r="BE213" s="785"/>
      <c r="BF213" s="785"/>
      <c r="BG213" s="785"/>
      <c r="BH213" s="785"/>
      <c r="BI213" s="785"/>
      <c r="BJ213" s="785"/>
      <c r="BK213" s="785"/>
      <c r="BL213" s="785"/>
      <c r="BM213" s="785"/>
      <c r="BN213" s="785"/>
      <c r="BO213" s="785"/>
      <c r="BP213" s="785"/>
      <c r="BQ213" s="785"/>
      <c r="BR213" s="785"/>
      <c r="BS213" s="785"/>
      <c r="BT213" s="785"/>
      <c r="BU213" s="785"/>
      <c r="BV213" s="785"/>
      <c r="BW213" s="785"/>
      <c r="BX213" s="785"/>
      <c r="BY213" s="785"/>
      <c r="BZ213" s="785"/>
    </row>
    <row r="214" spans="39:78" s="143" customFormat="1">
      <c r="AM214" s="785"/>
      <c r="AN214" s="785"/>
      <c r="AO214" s="785"/>
      <c r="AP214" s="785"/>
      <c r="AQ214" s="785"/>
      <c r="AR214" s="785"/>
      <c r="AS214" s="785"/>
      <c r="AT214" s="785"/>
      <c r="AU214" s="785"/>
      <c r="AV214" s="785"/>
      <c r="AW214" s="785"/>
      <c r="AX214" s="785"/>
      <c r="AY214" s="785"/>
      <c r="AZ214" s="785"/>
      <c r="BA214" s="785"/>
      <c r="BB214" s="785"/>
      <c r="BC214" s="785"/>
      <c r="BD214" s="785"/>
      <c r="BE214" s="785"/>
      <c r="BF214" s="785"/>
      <c r="BG214" s="785"/>
      <c r="BH214" s="785"/>
      <c r="BI214" s="785"/>
      <c r="BJ214" s="785"/>
      <c r="BK214" s="785"/>
      <c r="BL214" s="785"/>
      <c r="BM214" s="785"/>
      <c r="BN214" s="785"/>
      <c r="BO214" s="785"/>
      <c r="BP214" s="785"/>
      <c r="BQ214" s="785"/>
      <c r="BR214" s="785"/>
      <c r="BS214" s="785"/>
      <c r="BT214" s="785"/>
      <c r="BU214" s="785"/>
      <c r="BV214" s="785"/>
      <c r="BW214" s="785"/>
      <c r="BX214" s="785"/>
      <c r="BY214" s="785"/>
      <c r="BZ214" s="785"/>
    </row>
    <row r="215" spans="39:78" s="143" customFormat="1">
      <c r="AM215" s="785"/>
      <c r="AN215" s="785"/>
      <c r="AO215" s="785"/>
      <c r="AP215" s="785"/>
      <c r="AQ215" s="785"/>
      <c r="AR215" s="785"/>
      <c r="AS215" s="785"/>
      <c r="AT215" s="785"/>
      <c r="AU215" s="785"/>
      <c r="AV215" s="785"/>
      <c r="AW215" s="785"/>
      <c r="AX215" s="785"/>
      <c r="AY215" s="785"/>
      <c r="AZ215" s="785"/>
      <c r="BA215" s="785"/>
      <c r="BB215" s="785"/>
      <c r="BC215" s="785"/>
      <c r="BD215" s="785"/>
      <c r="BE215" s="785"/>
      <c r="BF215" s="785"/>
      <c r="BG215" s="785"/>
      <c r="BH215" s="785"/>
      <c r="BI215" s="785"/>
      <c r="BJ215" s="785"/>
      <c r="BK215" s="785"/>
      <c r="BL215" s="785"/>
      <c r="BM215" s="785"/>
      <c r="BN215" s="785"/>
      <c r="BO215" s="785"/>
      <c r="BP215" s="785"/>
      <c r="BQ215" s="785"/>
      <c r="BR215" s="785"/>
      <c r="BS215" s="785"/>
      <c r="BT215" s="785"/>
      <c r="BU215" s="785"/>
      <c r="BV215" s="785"/>
      <c r="BW215" s="785"/>
      <c r="BX215" s="785"/>
      <c r="BY215" s="785"/>
      <c r="BZ215" s="785"/>
    </row>
    <row r="216" spans="39:78" s="143" customFormat="1">
      <c r="AM216" s="785"/>
      <c r="AN216" s="785"/>
      <c r="AO216" s="785"/>
      <c r="AP216" s="785"/>
      <c r="AQ216" s="785"/>
      <c r="AR216" s="785"/>
      <c r="AS216" s="785"/>
      <c r="AT216" s="785"/>
      <c r="AU216" s="785"/>
      <c r="AV216" s="785"/>
      <c r="AW216" s="785"/>
      <c r="AX216" s="785"/>
      <c r="AY216" s="785"/>
      <c r="AZ216" s="785"/>
      <c r="BA216" s="785"/>
      <c r="BB216" s="785"/>
      <c r="BC216" s="785"/>
      <c r="BD216" s="785"/>
      <c r="BE216" s="785"/>
      <c r="BF216" s="785"/>
      <c r="BG216" s="785"/>
      <c r="BH216" s="785"/>
      <c r="BI216" s="785"/>
      <c r="BJ216" s="785"/>
      <c r="BK216" s="785"/>
      <c r="BL216" s="785"/>
      <c r="BM216" s="785"/>
      <c r="BN216" s="785"/>
      <c r="BO216" s="785"/>
      <c r="BP216" s="785"/>
      <c r="BQ216" s="785"/>
      <c r="BR216" s="785"/>
      <c r="BS216" s="785"/>
      <c r="BT216" s="785"/>
      <c r="BU216" s="785"/>
      <c r="BV216" s="785"/>
      <c r="BW216" s="785"/>
      <c r="BX216" s="785"/>
      <c r="BY216" s="785"/>
      <c r="BZ216" s="785"/>
    </row>
    <row r="217" spans="39:78" s="143" customFormat="1">
      <c r="AM217" s="785"/>
      <c r="AN217" s="785"/>
      <c r="AO217" s="785"/>
      <c r="AP217" s="785"/>
      <c r="AQ217" s="785"/>
      <c r="AR217" s="785"/>
      <c r="AS217" s="785"/>
      <c r="AT217" s="785"/>
      <c r="AU217" s="785"/>
      <c r="AV217" s="785"/>
      <c r="AW217" s="785"/>
      <c r="AX217" s="785"/>
      <c r="AY217" s="785"/>
      <c r="AZ217" s="785"/>
      <c r="BA217" s="785"/>
      <c r="BB217" s="785"/>
      <c r="BC217" s="785"/>
      <c r="BD217" s="785"/>
      <c r="BE217" s="785"/>
      <c r="BF217" s="785"/>
      <c r="BG217" s="785"/>
      <c r="BH217" s="785"/>
      <c r="BI217" s="785"/>
      <c r="BJ217" s="785"/>
      <c r="BK217" s="785"/>
      <c r="BL217" s="785"/>
      <c r="BM217" s="785"/>
      <c r="BN217" s="785"/>
      <c r="BO217" s="785"/>
      <c r="BP217" s="785"/>
      <c r="BQ217" s="785"/>
      <c r="BR217" s="785"/>
      <c r="BS217" s="785"/>
      <c r="BT217" s="785"/>
      <c r="BU217" s="785"/>
      <c r="BV217" s="785"/>
      <c r="BW217" s="785"/>
      <c r="BX217" s="785"/>
      <c r="BY217" s="785"/>
      <c r="BZ217" s="785"/>
    </row>
    <row r="218" spans="39:78" s="143" customFormat="1">
      <c r="AM218" s="785"/>
      <c r="AN218" s="785"/>
      <c r="AO218" s="785"/>
      <c r="AP218" s="785"/>
      <c r="AQ218" s="785"/>
      <c r="AR218" s="785"/>
      <c r="AS218" s="785"/>
      <c r="AT218" s="785"/>
      <c r="AU218" s="785"/>
      <c r="AV218" s="785"/>
      <c r="AW218" s="785"/>
      <c r="AX218" s="785"/>
      <c r="AY218" s="785"/>
      <c r="AZ218" s="785"/>
      <c r="BA218" s="785"/>
      <c r="BB218" s="785"/>
      <c r="BC218" s="785"/>
      <c r="BD218" s="785"/>
      <c r="BE218" s="785"/>
      <c r="BF218" s="785"/>
      <c r="BG218" s="785"/>
      <c r="BH218" s="785"/>
      <c r="BI218" s="785"/>
      <c r="BJ218" s="785"/>
      <c r="BK218" s="785"/>
      <c r="BL218" s="785"/>
      <c r="BM218" s="785"/>
      <c r="BN218" s="785"/>
      <c r="BO218" s="785"/>
      <c r="BP218" s="785"/>
      <c r="BQ218" s="785"/>
      <c r="BR218" s="785"/>
      <c r="BS218" s="785"/>
      <c r="BT218" s="785"/>
      <c r="BU218" s="785"/>
      <c r="BV218" s="785"/>
      <c r="BW218" s="785"/>
      <c r="BX218" s="785"/>
      <c r="BY218" s="785"/>
      <c r="BZ218" s="785"/>
    </row>
    <row r="219" spans="39:78" s="143" customFormat="1">
      <c r="AM219" s="785"/>
      <c r="AN219" s="785"/>
      <c r="AO219" s="785"/>
      <c r="AP219" s="785"/>
      <c r="AQ219" s="785"/>
      <c r="AR219" s="785"/>
      <c r="AS219" s="785"/>
      <c r="AT219" s="785"/>
      <c r="AU219" s="785"/>
      <c r="AV219" s="785"/>
      <c r="AW219" s="785"/>
      <c r="AX219" s="785"/>
      <c r="AY219" s="785"/>
      <c r="AZ219" s="785"/>
      <c r="BA219" s="785"/>
      <c r="BB219" s="785"/>
      <c r="BC219" s="785"/>
      <c r="BD219" s="785"/>
      <c r="BE219" s="785"/>
      <c r="BF219" s="785"/>
      <c r="BG219" s="785"/>
      <c r="BH219" s="785"/>
      <c r="BI219" s="785"/>
      <c r="BJ219" s="785"/>
      <c r="BK219" s="785"/>
      <c r="BL219" s="785"/>
      <c r="BM219" s="785"/>
      <c r="BN219" s="785"/>
      <c r="BO219" s="785"/>
      <c r="BP219" s="785"/>
      <c r="BQ219" s="785"/>
      <c r="BR219" s="785"/>
      <c r="BS219" s="785"/>
      <c r="BT219" s="785"/>
      <c r="BU219" s="785"/>
      <c r="BV219" s="785"/>
      <c r="BW219" s="785"/>
      <c r="BX219" s="785"/>
      <c r="BY219" s="785"/>
      <c r="BZ219" s="785"/>
    </row>
    <row r="220" spans="39:78" s="143" customFormat="1">
      <c r="AM220" s="785"/>
      <c r="AN220" s="785"/>
      <c r="AO220" s="785"/>
      <c r="AP220" s="785"/>
      <c r="AQ220" s="785"/>
      <c r="AR220" s="785"/>
      <c r="AS220" s="785"/>
      <c r="AT220" s="785"/>
      <c r="AU220" s="785"/>
      <c r="AV220" s="785"/>
      <c r="AW220" s="785"/>
      <c r="AX220" s="785"/>
      <c r="AY220" s="785"/>
      <c r="AZ220" s="785"/>
      <c r="BA220" s="785"/>
      <c r="BB220" s="785"/>
      <c r="BC220" s="785"/>
      <c r="BD220" s="785"/>
      <c r="BE220" s="785"/>
      <c r="BF220" s="785"/>
      <c r="BG220" s="785"/>
      <c r="BH220" s="785"/>
      <c r="BI220" s="785"/>
      <c r="BJ220" s="785"/>
      <c r="BK220" s="785"/>
      <c r="BL220" s="785"/>
      <c r="BM220" s="785"/>
      <c r="BN220" s="785"/>
      <c r="BO220" s="785"/>
      <c r="BP220" s="785"/>
      <c r="BQ220" s="785"/>
      <c r="BR220" s="785"/>
      <c r="BS220" s="785"/>
      <c r="BT220" s="785"/>
      <c r="BU220" s="785"/>
      <c r="BV220" s="785"/>
      <c r="BW220" s="785"/>
      <c r="BX220" s="785"/>
      <c r="BY220" s="785"/>
      <c r="BZ220" s="785"/>
    </row>
    <row r="221" spans="39:78" s="143" customFormat="1">
      <c r="AM221" s="785"/>
      <c r="AN221" s="785"/>
      <c r="AO221" s="785"/>
      <c r="AP221" s="785"/>
      <c r="AQ221" s="785"/>
      <c r="AR221" s="785"/>
      <c r="AS221" s="785"/>
      <c r="AT221" s="785"/>
      <c r="AU221" s="785"/>
      <c r="AV221" s="785"/>
      <c r="AW221" s="785"/>
      <c r="AX221" s="785"/>
      <c r="AY221" s="785"/>
      <c r="AZ221" s="785"/>
      <c r="BA221" s="785"/>
      <c r="BB221" s="785"/>
      <c r="BC221" s="785"/>
      <c r="BD221" s="785"/>
      <c r="BE221" s="785"/>
      <c r="BF221" s="785"/>
      <c r="BG221" s="785"/>
      <c r="BH221" s="785"/>
      <c r="BI221" s="785"/>
      <c r="BJ221" s="785"/>
      <c r="BK221" s="785"/>
      <c r="BL221" s="785"/>
      <c r="BM221" s="785"/>
      <c r="BN221" s="785"/>
      <c r="BO221" s="785"/>
      <c r="BP221" s="785"/>
      <c r="BQ221" s="785"/>
      <c r="BR221" s="785"/>
      <c r="BS221" s="785"/>
      <c r="BT221" s="785"/>
      <c r="BU221" s="785"/>
      <c r="BV221" s="785"/>
      <c r="BW221" s="785"/>
      <c r="BX221" s="785"/>
      <c r="BY221" s="785"/>
      <c r="BZ221" s="785"/>
    </row>
    <row r="222" spans="39:78" s="143" customFormat="1">
      <c r="AM222" s="785"/>
      <c r="AN222" s="785"/>
      <c r="AO222" s="785"/>
      <c r="AP222" s="785"/>
      <c r="AQ222" s="785"/>
      <c r="AR222" s="785"/>
      <c r="AS222" s="785"/>
      <c r="AT222" s="785"/>
      <c r="AU222" s="785"/>
      <c r="AV222" s="785"/>
      <c r="AW222" s="785"/>
      <c r="AX222" s="785"/>
      <c r="AY222" s="785"/>
      <c r="AZ222" s="785"/>
      <c r="BA222" s="785"/>
      <c r="BB222" s="785"/>
      <c r="BC222" s="785"/>
      <c r="BD222" s="785"/>
      <c r="BE222" s="785"/>
      <c r="BF222" s="785"/>
      <c r="BG222" s="785"/>
      <c r="BH222" s="785"/>
      <c r="BI222" s="785"/>
      <c r="BJ222" s="785"/>
      <c r="BK222" s="785"/>
      <c r="BL222" s="785"/>
      <c r="BM222" s="785"/>
      <c r="BN222" s="785"/>
      <c r="BO222" s="785"/>
      <c r="BP222" s="785"/>
      <c r="BQ222" s="785"/>
      <c r="BR222" s="785"/>
      <c r="BS222" s="785"/>
      <c r="BT222" s="785"/>
      <c r="BU222" s="785"/>
      <c r="BV222" s="785"/>
      <c r="BW222" s="785"/>
      <c r="BX222" s="785"/>
      <c r="BY222" s="785"/>
      <c r="BZ222" s="785"/>
    </row>
    <row r="223" spans="39:78" s="143" customFormat="1">
      <c r="AM223" s="785"/>
      <c r="AN223" s="785"/>
      <c r="AO223" s="785"/>
      <c r="AP223" s="785"/>
      <c r="AQ223" s="785"/>
      <c r="AR223" s="785"/>
      <c r="AS223" s="785"/>
      <c r="AT223" s="785"/>
      <c r="AU223" s="785"/>
      <c r="AV223" s="785"/>
      <c r="AW223" s="785"/>
      <c r="AX223" s="785"/>
      <c r="AY223" s="785"/>
      <c r="AZ223" s="785"/>
      <c r="BA223" s="785"/>
      <c r="BB223" s="785"/>
      <c r="BC223" s="785"/>
      <c r="BD223" s="785"/>
      <c r="BE223" s="785"/>
      <c r="BF223" s="785"/>
      <c r="BG223" s="785"/>
      <c r="BH223" s="785"/>
      <c r="BI223" s="785"/>
      <c r="BJ223" s="785"/>
      <c r="BK223" s="785"/>
      <c r="BL223" s="785"/>
      <c r="BM223" s="785"/>
      <c r="BN223" s="785"/>
      <c r="BO223" s="785"/>
      <c r="BP223" s="785"/>
      <c r="BQ223" s="785"/>
      <c r="BR223" s="785"/>
      <c r="BS223" s="785"/>
      <c r="BT223" s="785"/>
      <c r="BU223" s="785"/>
      <c r="BV223" s="785"/>
      <c r="BW223" s="785"/>
      <c r="BX223" s="785"/>
      <c r="BY223" s="785"/>
      <c r="BZ223" s="785"/>
    </row>
    <row r="224" spans="39:78" s="143" customFormat="1">
      <c r="AM224" s="785"/>
      <c r="AN224" s="785"/>
      <c r="AO224" s="785"/>
      <c r="AP224" s="785"/>
      <c r="AQ224" s="785"/>
      <c r="AR224" s="785"/>
      <c r="AS224" s="785"/>
      <c r="AT224" s="785"/>
      <c r="AU224" s="785"/>
      <c r="AV224" s="785"/>
      <c r="AW224" s="785"/>
      <c r="AX224" s="785"/>
      <c r="AY224" s="785"/>
      <c r="AZ224" s="785"/>
      <c r="BA224" s="785"/>
      <c r="BB224" s="785"/>
      <c r="BC224" s="785"/>
      <c r="BD224" s="785"/>
      <c r="BE224" s="785"/>
      <c r="BF224" s="785"/>
      <c r="BG224" s="785"/>
      <c r="BH224" s="785"/>
      <c r="BI224" s="785"/>
      <c r="BJ224" s="785"/>
      <c r="BK224" s="785"/>
      <c r="BL224" s="785"/>
      <c r="BM224" s="785"/>
      <c r="BN224" s="785"/>
      <c r="BO224" s="785"/>
      <c r="BP224" s="785"/>
      <c r="BQ224" s="785"/>
      <c r="BR224" s="785"/>
      <c r="BS224" s="785"/>
      <c r="BT224" s="785"/>
      <c r="BU224" s="785"/>
      <c r="BV224" s="785"/>
      <c r="BW224" s="785"/>
      <c r="BX224" s="785"/>
      <c r="BY224" s="785"/>
      <c r="BZ224" s="785"/>
    </row>
    <row r="225" spans="39:78" s="143" customFormat="1">
      <c r="AM225" s="785"/>
      <c r="AN225" s="785"/>
      <c r="AO225" s="785"/>
      <c r="AP225" s="785"/>
      <c r="AQ225" s="785"/>
      <c r="AR225" s="785"/>
      <c r="AS225" s="785"/>
      <c r="AT225" s="785"/>
      <c r="AU225" s="785"/>
      <c r="AV225" s="785"/>
      <c r="AW225" s="785"/>
      <c r="AX225" s="785"/>
      <c r="AY225" s="785"/>
      <c r="AZ225" s="785"/>
      <c r="BA225" s="785"/>
      <c r="BB225" s="785"/>
      <c r="BC225" s="785"/>
      <c r="BD225" s="785"/>
      <c r="BE225" s="785"/>
      <c r="BF225" s="785"/>
      <c r="BG225" s="785"/>
      <c r="BH225" s="785"/>
      <c r="BI225" s="785"/>
      <c r="BJ225" s="785"/>
      <c r="BK225" s="785"/>
      <c r="BL225" s="785"/>
      <c r="BM225" s="785"/>
      <c r="BN225" s="785"/>
      <c r="BO225" s="785"/>
      <c r="BP225" s="785"/>
      <c r="BQ225" s="785"/>
      <c r="BR225" s="785"/>
      <c r="BS225" s="785"/>
      <c r="BT225" s="785"/>
      <c r="BU225" s="785"/>
      <c r="BV225" s="785"/>
      <c r="BW225" s="785"/>
      <c r="BX225" s="785"/>
      <c r="BY225" s="785"/>
      <c r="BZ225" s="785"/>
    </row>
    <row r="226" spans="39:78" s="143" customFormat="1">
      <c r="AM226" s="785"/>
      <c r="AN226" s="785"/>
      <c r="AO226" s="785"/>
      <c r="AP226" s="785"/>
      <c r="AQ226" s="785"/>
      <c r="AR226" s="785"/>
      <c r="AS226" s="785"/>
      <c r="AT226" s="785"/>
      <c r="AU226" s="785"/>
      <c r="AV226" s="785"/>
      <c r="AW226" s="785"/>
      <c r="AX226" s="785"/>
      <c r="AY226" s="785"/>
      <c r="AZ226" s="785"/>
      <c r="BA226" s="785"/>
      <c r="BB226" s="785"/>
      <c r="BC226" s="785"/>
      <c r="BD226" s="785"/>
      <c r="BE226" s="785"/>
      <c r="BF226" s="785"/>
      <c r="BG226" s="785"/>
      <c r="BH226" s="785"/>
      <c r="BI226" s="785"/>
      <c r="BJ226" s="785"/>
      <c r="BK226" s="785"/>
      <c r="BL226" s="785"/>
      <c r="BM226" s="785"/>
      <c r="BN226" s="785"/>
      <c r="BO226" s="785"/>
      <c r="BP226" s="785"/>
      <c r="BQ226" s="785"/>
      <c r="BR226" s="785"/>
      <c r="BS226" s="785"/>
      <c r="BT226" s="785"/>
      <c r="BU226" s="785"/>
      <c r="BV226" s="785"/>
      <c r="BW226" s="785"/>
      <c r="BX226" s="785"/>
      <c r="BY226" s="785"/>
      <c r="BZ226" s="785"/>
    </row>
    <row r="227" spans="39:78" s="143" customFormat="1">
      <c r="AM227" s="785"/>
      <c r="AN227" s="785"/>
      <c r="AO227" s="785"/>
      <c r="AP227" s="785"/>
      <c r="AQ227" s="785"/>
      <c r="AR227" s="785"/>
      <c r="AS227" s="785"/>
      <c r="AT227" s="785"/>
      <c r="AU227" s="785"/>
      <c r="AV227" s="785"/>
      <c r="AW227" s="785"/>
      <c r="AX227" s="785"/>
      <c r="AY227" s="785"/>
      <c r="AZ227" s="785"/>
      <c r="BA227" s="785"/>
      <c r="BB227" s="785"/>
      <c r="BC227" s="785"/>
      <c r="BD227" s="785"/>
      <c r="BE227" s="785"/>
      <c r="BF227" s="785"/>
      <c r="BG227" s="785"/>
      <c r="BH227" s="785"/>
      <c r="BI227" s="785"/>
      <c r="BJ227" s="785"/>
      <c r="BK227" s="785"/>
      <c r="BL227" s="785"/>
      <c r="BM227" s="785"/>
      <c r="BN227" s="785"/>
      <c r="BO227" s="785"/>
      <c r="BP227" s="785"/>
      <c r="BQ227" s="785"/>
      <c r="BR227" s="785"/>
      <c r="BS227" s="785"/>
      <c r="BT227" s="785"/>
      <c r="BU227" s="785"/>
      <c r="BV227" s="785"/>
      <c r="BW227" s="785"/>
      <c r="BX227" s="785"/>
      <c r="BY227" s="785"/>
      <c r="BZ227" s="785"/>
    </row>
    <row r="228" spans="39:78" s="143" customFormat="1">
      <c r="AM228" s="785"/>
      <c r="AN228" s="785"/>
      <c r="AO228" s="785"/>
      <c r="AP228" s="785"/>
      <c r="AQ228" s="785"/>
      <c r="AR228" s="785"/>
      <c r="AS228" s="785"/>
      <c r="AT228" s="785"/>
      <c r="AU228" s="785"/>
      <c r="AV228" s="785"/>
      <c r="AW228" s="785"/>
      <c r="AX228" s="785"/>
      <c r="AY228" s="785"/>
      <c r="AZ228" s="785"/>
      <c r="BA228" s="785"/>
      <c r="BB228" s="785"/>
      <c r="BC228" s="785"/>
      <c r="BD228" s="785"/>
      <c r="BE228" s="785"/>
      <c r="BF228" s="785"/>
      <c r="BG228" s="785"/>
      <c r="BH228" s="785"/>
      <c r="BI228" s="785"/>
      <c r="BJ228" s="785"/>
      <c r="BK228" s="785"/>
      <c r="BL228" s="785"/>
      <c r="BM228" s="785"/>
      <c r="BN228" s="785"/>
      <c r="BO228" s="785"/>
      <c r="BP228" s="785"/>
      <c r="BQ228" s="785"/>
      <c r="BR228" s="785"/>
      <c r="BS228" s="785"/>
      <c r="BT228" s="785"/>
      <c r="BU228" s="785"/>
      <c r="BV228" s="785"/>
      <c r="BW228" s="785"/>
      <c r="BX228" s="785"/>
      <c r="BY228" s="785"/>
      <c r="BZ228" s="785"/>
    </row>
    <row r="229" spans="39:78" s="143" customFormat="1">
      <c r="AM229" s="782"/>
      <c r="AN229" s="782"/>
      <c r="AO229" s="782"/>
      <c r="AP229" s="782"/>
      <c r="AQ229" s="782"/>
      <c r="AR229" s="782"/>
      <c r="AS229" s="782"/>
      <c r="AT229" s="782"/>
      <c r="AU229" s="782"/>
      <c r="AV229" s="782"/>
      <c r="AW229" s="782"/>
      <c r="AX229" s="782"/>
      <c r="AY229" s="782"/>
      <c r="AZ229" s="782"/>
      <c r="BA229" s="782"/>
      <c r="BB229" s="782"/>
      <c r="BC229" s="782"/>
      <c r="BD229" s="782"/>
      <c r="BE229" s="782"/>
      <c r="BF229" s="782"/>
      <c r="BG229" s="782"/>
      <c r="BH229" s="782"/>
      <c r="BI229" s="782"/>
      <c r="BJ229" s="782"/>
      <c r="BK229" s="782"/>
      <c r="BL229" s="782"/>
      <c r="BM229" s="782"/>
      <c r="BN229" s="782"/>
      <c r="BO229" s="782"/>
      <c r="BP229" s="782"/>
      <c r="BQ229" s="782"/>
      <c r="BR229" s="782"/>
      <c r="BS229" s="782"/>
      <c r="BT229" s="782"/>
      <c r="BU229" s="782"/>
      <c r="BV229" s="782"/>
      <c r="BW229" s="782"/>
      <c r="BX229" s="782"/>
      <c r="BY229" s="782"/>
      <c r="BZ229" s="782"/>
    </row>
    <row r="230" spans="39:78" s="143" customFormat="1">
      <c r="AM230" s="782"/>
      <c r="AN230" s="782"/>
      <c r="AO230" s="782"/>
      <c r="AP230" s="782"/>
      <c r="AQ230" s="782"/>
      <c r="AR230" s="782"/>
      <c r="AS230" s="782"/>
      <c r="AT230" s="782"/>
      <c r="AU230" s="782"/>
      <c r="AV230" s="782"/>
      <c r="AW230" s="782"/>
      <c r="AX230" s="782"/>
      <c r="AY230" s="782"/>
      <c r="AZ230" s="782"/>
      <c r="BA230" s="782"/>
      <c r="BB230" s="782"/>
      <c r="BC230" s="782"/>
      <c r="BD230" s="782"/>
      <c r="BE230" s="782"/>
      <c r="BF230" s="782"/>
      <c r="BG230" s="782"/>
      <c r="BH230" s="782"/>
      <c r="BI230" s="782"/>
      <c r="BJ230" s="782"/>
      <c r="BK230" s="782"/>
      <c r="BL230" s="782"/>
      <c r="BM230" s="782"/>
      <c r="BN230" s="782"/>
      <c r="BO230" s="782"/>
      <c r="BP230" s="782"/>
      <c r="BQ230" s="782"/>
      <c r="BR230" s="782"/>
      <c r="BS230" s="782"/>
      <c r="BT230" s="782"/>
      <c r="BU230" s="782"/>
      <c r="BV230" s="782"/>
      <c r="BW230" s="782"/>
      <c r="BX230" s="782"/>
      <c r="BY230" s="782"/>
      <c r="BZ230" s="782"/>
    </row>
    <row r="231" spans="39:78" s="143" customFormat="1">
      <c r="AM231" s="782"/>
      <c r="AN231" s="782"/>
      <c r="AO231" s="782"/>
      <c r="AP231" s="782"/>
      <c r="AQ231" s="782"/>
      <c r="AR231" s="782"/>
      <c r="AS231" s="782"/>
      <c r="AT231" s="782"/>
      <c r="AU231" s="782"/>
      <c r="AV231" s="782"/>
      <c r="AW231" s="782"/>
      <c r="AX231" s="782"/>
      <c r="AY231" s="782"/>
      <c r="AZ231" s="782"/>
      <c r="BA231" s="782"/>
      <c r="BB231" s="782"/>
      <c r="BC231" s="782"/>
      <c r="BD231" s="782"/>
      <c r="BE231" s="782"/>
      <c r="BF231" s="782"/>
      <c r="BG231" s="782"/>
      <c r="BH231" s="782"/>
      <c r="BI231" s="782"/>
      <c r="BJ231" s="782"/>
      <c r="BK231" s="782"/>
      <c r="BL231" s="782"/>
      <c r="BM231" s="782"/>
      <c r="BN231" s="782"/>
      <c r="BO231" s="782"/>
      <c r="BP231" s="782"/>
      <c r="BQ231" s="782"/>
      <c r="BR231" s="782"/>
      <c r="BS231" s="782"/>
      <c r="BT231" s="782"/>
      <c r="BU231" s="782"/>
      <c r="BV231" s="782"/>
      <c r="BW231" s="782"/>
      <c r="BX231" s="782"/>
      <c r="BY231" s="782"/>
      <c r="BZ231" s="782"/>
    </row>
    <row r="232" spans="39:78" s="143" customFormat="1">
      <c r="AM232" s="782"/>
      <c r="AN232" s="782"/>
      <c r="AO232" s="782"/>
      <c r="AP232" s="782"/>
      <c r="AQ232" s="782"/>
      <c r="AR232" s="782"/>
      <c r="AS232" s="782"/>
      <c r="AT232" s="782"/>
      <c r="AU232" s="782"/>
      <c r="AV232" s="782"/>
      <c r="AW232" s="782"/>
      <c r="AX232" s="782"/>
      <c r="AY232" s="782"/>
      <c r="AZ232" s="782"/>
      <c r="BA232" s="782"/>
      <c r="BB232" s="782"/>
      <c r="BC232" s="782"/>
      <c r="BD232" s="782"/>
      <c r="BE232" s="782"/>
      <c r="BF232" s="782"/>
      <c r="BG232" s="782"/>
      <c r="BH232" s="782"/>
      <c r="BI232" s="782"/>
      <c r="BJ232" s="782"/>
      <c r="BK232" s="782"/>
      <c r="BL232" s="782"/>
      <c r="BM232" s="782"/>
      <c r="BN232" s="782"/>
      <c r="BO232" s="782"/>
      <c r="BP232" s="782"/>
      <c r="BQ232" s="782"/>
      <c r="BR232" s="782"/>
      <c r="BS232" s="782"/>
      <c r="BT232" s="782"/>
      <c r="BU232" s="782"/>
      <c r="BV232" s="782"/>
      <c r="BW232" s="782"/>
      <c r="BX232" s="782"/>
      <c r="BY232" s="782"/>
      <c r="BZ232" s="782"/>
    </row>
    <row r="233" spans="39:78" s="143" customFormat="1">
      <c r="AM233" s="782"/>
      <c r="AN233" s="782"/>
      <c r="AO233" s="782"/>
      <c r="AP233" s="782"/>
      <c r="AQ233" s="782"/>
      <c r="AR233" s="782"/>
      <c r="AS233" s="782"/>
      <c r="AT233" s="782"/>
      <c r="AU233" s="782"/>
      <c r="AV233" s="782"/>
      <c r="AW233" s="782"/>
      <c r="AX233" s="782"/>
      <c r="AY233" s="782"/>
      <c r="AZ233" s="782"/>
      <c r="BA233" s="782"/>
      <c r="BB233" s="782"/>
      <c r="BC233" s="782"/>
      <c r="BD233" s="782"/>
      <c r="BE233" s="782"/>
      <c r="BF233" s="782"/>
      <c r="BG233" s="782"/>
      <c r="BH233" s="782"/>
      <c r="BI233" s="782"/>
      <c r="BJ233" s="782"/>
      <c r="BK233" s="782"/>
      <c r="BL233" s="782"/>
      <c r="BM233" s="782"/>
      <c r="BN233" s="782"/>
      <c r="BO233" s="782"/>
      <c r="BP233" s="782"/>
      <c r="BQ233" s="782"/>
      <c r="BR233" s="782"/>
      <c r="BS233" s="782"/>
      <c r="BT233" s="782"/>
      <c r="BU233" s="782"/>
      <c r="BV233" s="782"/>
      <c r="BW233" s="782"/>
      <c r="BX233" s="782"/>
      <c r="BY233" s="782"/>
      <c r="BZ233" s="782"/>
    </row>
    <row r="234" spans="39:78" s="143" customFormat="1">
      <c r="AM234" s="782"/>
      <c r="AN234" s="782"/>
      <c r="AO234" s="782"/>
      <c r="AP234" s="782"/>
      <c r="AQ234" s="782"/>
      <c r="AR234" s="782"/>
      <c r="AS234" s="782"/>
      <c r="AT234" s="782"/>
      <c r="AU234" s="782"/>
      <c r="AV234" s="782"/>
      <c r="AW234" s="782"/>
      <c r="AX234" s="782"/>
      <c r="AY234" s="782"/>
      <c r="AZ234" s="782"/>
      <c r="BA234" s="782"/>
      <c r="BB234" s="782"/>
      <c r="BC234" s="782"/>
      <c r="BD234" s="782"/>
      <c r="BE234" s="782"/>
      <c r="BF234" s="782"/>
      <c r="BG234" s="782"/>
      <c r="BH234" s="782"/>
      <c r="BI234" s="782"/>
      <c r="BJ234" s="782"/>
      <c r="BK234" s="782"/>
      <c r="BL234" s="782"/>
      <c r="BM234" s="782"/>
      <c r="BN234" s="782"/>
      <c r="BO234" s="782"/>
      <c r="BP234" s="782"/>
      <c r="BQ234" s="782"/>
      <c r="BR234" s="782"/>
      <c r="BS234" s="782"/>
      <c r="BT234" s="782"/>
      <c r="BU234" s="782"/>
      <c r="BV234" s="782"/>
      <c r="BW234" s="782"/>
      <c r="BX234" s="782"/>
      <c r="BY234" s="782"/>
      <c r="BZ234" s="782"/>
    </row>
    <row r="235" spans="39:78" s="143" customFormat="1">
      <c r="AM235" s="782"/>
      <c r="AN235" s="782"/>
      <c r="AO235" s="782"/>
      <c r="AP235" s="782"/>
      <c r="AQ235" s="782"/>
      <c r="AR235" s="782"/>
      <c r="AS235" s="782"/>
      <c r="AT235" s="782"/>
      <c r="AU235" s="782"/>
      <c r="AV235" s="782"/>
      <c r="AW235" s="782"/>
      <c r="AX235" s="782"/>
      <c r="AY235" s="782"/>
      <c r="AZ235" s="782"/>
      <c r="BA235" s="782"/>
      <c r="BB235" s="782"/>
      <c r="BC235" s="782"/>
      <c r="BD235" s="782"/>
      <c r="BE235" s="782"/>
      <c r="BF235" s="782"/>
      <c r="BG235" s="782"/>
      <c r="BH235" s="782"/>
      <c r="BI235" s="782"/>
      <c r="BJ235" s="782"/>
      <c r="BK235" s="782"/>
      <c r="BL235" s="782"/>
      <c r="BM235" s="782"/>
      <c r="BN235" s="782"/>
      <c r="BO235" s="782"/>
      <c r="BP235" s="782"/>
      <c r="BQ235" s="782"/>
      <c r="BR235" s="782"/>
      <c r="BS235" s="782"/>
      <c r="BT235" s="782"/>
      <c r="BU235" s="782"/>
      <c r="BV235" s="782"/>
      <c r="BW235" s="782"/>
      <c r="BX235" s="782"/>
      <c r="BY235" s="782"/>
      <c r="BZ235" s="782"/>
    </row>
    <row r="236" spans="39:78" s="143" customFormat="1">
      <c r="AM236" s="782"/>
      <c r="AN236" s="782"/>
      <c r="AO236" s="782"/>
      <c r="AP236" s="782"/>
      <c r="AQ236" s="782"/>
      <c r="AR236" s="782"/>
      <c r="AS236" s="782"/>
      <c r="AT236" s="782"/>
      <c r="AU236" s="782"/>
      <c r="AV236" s="782"/>
      <c r="AW236" s="782"/>
      <c r="AX236" s="782"/>
      <c r="AY236" s="782"/>
      <c r="AZ236" s="782"/>
      <c r="BA236" s="782"/>
      <c r="BB236" s="782"/>
      <c r="BC236" s="782"/>
      <c r="BD236" s="782"/>
      <c r="BE236" s="782"/>
      <c r="BF236" s="782"/>
      <c r="BG236" s="782"/>
      <c r="BH236" s="782"/>
      <c r="BI236" s="782"/>
      <c r="BJ236" s="782"/>
      <c r="BK236" s="782"/>
      <c r="BL236" s="782"/>
      <c r="BM236" s="782"/>
      <c r="BN236" s="782"/>
      <c r="BO236" s="782"/>
      <c r="BP236" s="782"/>
      <c r="BQ236" s="782"/>
      <c r="BR236" s="782"/>
      <c r="BS236" s="782"/>
      <c r="BT236" s="782"/>
      <c r="BU236" s="782"/>
      <c r="BV236" s="782"/>
      <c r="BW236" s="782"/>
      <c r="BX236" s="782"/>
      <c r="BY236" s="782"/>
      <c r="BZ236" s="782"/>
    </row>
    <row r="237" spans="39:78" s="143" customFormat="1">
      <c r="AM237" s="782"/>
      <c r="AN237" s="782"/>
      <c r="AO237" s="782"/>
      <c r="AP237" s="782"/>
      <c r="AQ237" s="782"/>
      <c r="AR237" s="782"/>
      <c r="AS237" s="782"/>
      <c r="AT237" s="782"/>
      <c r="AU237" s="782"/>
      <c r="AV237" s="782"/>
      <c r="AW237" s="782"/>
      <c r="AX237" s="782"/>
      <c r="AY237" s="782"/>
      <c r="AZ237" s="782"/>
      <c r="BA237" s="782"/>
      <c r="BB237" s="782"/>
      <c r="BC237" s="782"/>
      <c r="BD237" s="782"/>
      <c r="BE237" s="782"/>
      <c r="BF237" s="782"/>
      <c r="BG237" s="782"/>
      <c r="BH237" s="782"/>
      <c r="BI237" s="782"/>
      <c r="BJ237" s="782"/>
      <c r="BK237" s="782"/>
      <c r="BL237" s="782"/>
      <c r="BM237" s="782"/>
      <c r="BN237" s="782"/>
      <c r="BO237" s="782"/>
      <c r="BP237" s="782"/>
      <c r="BQ237" s="782"/>
      <c r="BR237" s="782"/>
      <c r="BS237" s="782"/>
      <c r="BT237" s="782"/>
      <c r="BU237" s="782"/>
      <c r="BV237" s="782"/>
      <c r="BW237" s="782"/>
      <c r="BX237" s="782"/>
      <c r="BY237" s="782"/>
      <c r="BZ237" s="782"/>
    </row>
    <row r="238" spans="39:78" s="143" customFormat="1">
      <c r="AM238" s="782"/>
      <c r="AN238" s="782"/>
      <c r="AO238" s="782"/>
      <c r="AP238" s="782"/>
      <c r="AQ238" s="782"/>
      <c r="AR238" s="782"/>
      <c r="AS238" s="782"/>
      <c r="AT238" s="782"/>
      <c r="AU238" s="782"/>
      <c r="AV238" s="782"/>
      <c r="AW238" s="782"/>
      <c r="AX238" s="782"/>
      <c r="AY238" s="782"/>
      <c r="AZ238" s="782"/>
      <c r="BA238" s="782"/>
      <c r="BB238" s="782"/>
      <c r="BC238" s="782"/>
      <c r="BD238" s="782"/>
      <c r="BE238" s="782"/>
      <c r="BF238" s="782"/>
      <c r="BG238" s="782"/>
      <c r="BH238" s="782"/>
      <c r="BI238" s="782"/>
      <c r="BJ238" s="782"/>
      <c r="BK238" s="782"/>
      <c r="BL238" s="782"/>
      <c r="BM238" s="782"/>
      <c r="BN238" s="782"/>
      <c r="BO238" s="782"/>
      <c r="BP238" s="782"/>
      <c r="BQ238" s="782"/>
      <c r="BR238" s="782"/>
      <c r="BS238" s="782"/>
      <c r="BT238" s="782"/>
      <c r="BU238" s="782"/>
      <c r="BV238" s="782"/>
      <c r="BW238" s="782"/>
      <c r="BX238" s="782"/>
      <c r="BY238" s="782"/>
      <c r="BZ238" s="782"/>
    </row>
    <row r="239" spans="39:78" s="143" customFormat="1">
      <c r="AM239" s="782"/>
      <c r="AN239" s="782"/>
      <c r="AO239" s="782"/>
      <c r="AP239" s="782"/>
      <c r="AQ239" s="782"/>
      <c r="AR239" s="782"/>
      <c r="AS239" s="782"/>
      <c r="AT239" s="782"/>
      <c r="AU239" s="782"/>
      <c r="AV239" s="782"/>
      <c r="AW239" s="782"/>
      <c r="AX239" s="782"/>
      <c r="AY239" s="782"/>
      <c r="AZ239" s="782"/>
      <c r="BA239" s="782"/>
      <c r="BB239" s="782"/>
      <c r="BC239" s="782"/>
      <c r="BD239" s="782"/>
      <c r="BE239" s="782"/>
      <c r="BF239" s="782"/>
      <c r="BG239" s="782"/>
      <c r="BH239" s="782"/>
      <c r="BI239" s="782"/>
      <c r="BJ239" s="782"/>
      <c r="BK239" s="782"/>
      <c r="BL239" s="782"/>
      <c r="BM239" s="782"/>
      <c r="BN239" s="782"/>
      <c r="BO239" s="782"/>
      <c r="BP239" s="782"/>
      <c r="BQ239" s="782"/>
      <c r="BR239" s="782"/>
      <c r="BS239" s="782"/>
      <c r="BT239" s="782"/>
      <c r="BU239" s="782"/>
      <c r="BV239" s="782"/>
      <c r="BW239" s="782"/>
      <c r="BX239" s="782"/>
      <c r="BY239" s="782"/>
      <c r="BZ239" s="782"/>
    </row>
    <row r="240" spans="39:78" s="143" customFormat="1">
      <c r="AM240" s="782"/>
      <c r="AN240" s="782"/>
      <c r="AO240" s="782"/>
      <c r="AP240" s="782"/>
      <c r="AQ240" s="782"/>
      <c r="AR240" s="782"/>
      <c r="AS240" s="782"/>
      <c r="AT240" s="782"/>
      <c r="AU240" s="782"/>
      <c r="AV240" s="782"/>
      <c r="AW240" s="782"/>
      <c r="AX240" s="782"/>
      <c r="AY240" s="782"/>
      <c r="AZ240" s="782"/>
      <c r="BA240" s="782"/>
      <c r="BB240" s="782"/>
      <c r="BC240" s="782"/>
      <c r="BD240" s="782"/>
      <c r="BE240" s="782"/>
      <c r="BF240" s="782"/>
      <c r="BG240" s="782"/>
      <c r="BH240" s="782"/>
      <c r="BI240" s="782"/>
      <c r="BJ240" s="782"/>
      <c r="BK240" s="782"/>
      <c r="BL240" s="782"/>
      <c r="BM240" s="782"/>
      <c r="BN240" s="782"/>
      <c r="BO240" s="782"/>
      <c r="BP240" s="782"/>
      <c r="BQ240" s="782"/>
      <c r="BR240" s="782"/>
      <c r="BS240" s="782"/>
      <c r="BT240" s="782"/>
      <c r="BU240" s="782"/>
      <c r="BV240" s="782"/>
      <c r="BW240" s="782"/>
      <c r="BX240" s="782"/>
      <c r="BY240" s="782"/>
      <c r="BZ240" s="782"/>
    </row>
    <row r="241" spans="39:78" s="143" customFormat="1">
      <c r="AM241" s="782"/>
      <c r="AN241" s="782"/>
      <c r="AO241" s="782"/>
      <c r="AP241" s="782"/>
      <c r="AQ241" s="782"/>
      <c r="AR241" s="782"/>
      <c r="AS241" s="782"/>
      <c r="AT241" s="782"/>
      <c r="AU241" s="782"/>
      <c r="AV241" s="782"/>
      <c r="AW241" s="782"/>
      <c r="AX241" s="782"/>
      <c r="AY241" s="782"/>
      <c r="AZ241" s="782"/>
      <c r="BA241" s="782"/>
      <c r="BB241" s="782"/>
      <c r="BC241" s="782"/>
      <c r="BD241" s="782"/>
      <c r="BE241" s="782"/>
      <c r="BF241" s="782"/>
      <c r="BG241" s="782"/>
      <c r="BH241" s="782"/>
      <c r="BI241" s="782"/>
      <c r="BJ241" s="782"/>
      <c r="BK241" s="782"/>
      <c r="BL241" s="782"/>
      <c r="BM241" s="782"/>
      <c r="BN241" s="782"/>
      <c r="BO241" s="782"/>
      <c r="BP241" s="782"/>
      <c r="BQ241" s="782"/>
      <c r="BR241" s="782"/>
      <c r="BS241" s="782"/>
      <c r="BT241" s="782"/>
      <c r="BU241" s="782"/>
      <c r="BV241" s="782"/>
      <c r="BW241" s="782"/>
      <c r="BX241" s="782"/>
      <c r="BY241" s="782"/>
      <c r="BZ241" s="782"/>
    </row>
    <row r="242" spans="39:78" s="143" customFormat="1">
      <c r="AM242" s="782"/>
      <c r="AN242" s="782"/>
      <c r="AO242" s="782"/>
      <c r="AP242" s="782"/>
      <c r="AQ242" s="782"/>
      <c r="AR242" s="782"/>
      <c r="AS242" s="782"/>
      <c r="AT242" s="782"/>
      <c r="AU242" s="782"/>
      <c r="AV242" s="782"/>
      <c r="AW242" s="782"/>
      <c r="AX242" s="782"/>
      <c r="AY242" s="782"/>
      <c r="AZ242" s="782"/>
      <c r="BA242" s="782"/>
      <c r="BB242" s="782"/>
      <c r="BC242" s="782"/>
      <c r="BD242" s="782"/>
      <c r="BE242" s="782"/>
      <c r="BF242" s="782"/>
      <c r="BG242" s="782"/>
      <c r="BH242" s="782"/>
      <c r="BI242" s="782"/>
      <c r="BJ242" s="782"/>
      <c r="BK242" s="782"/>
      <c r="BL242" s="782"/>
      <c r="BM242" s="782"/>
      <c r="BN242" s="782"/>
      <c r="BO242" s="782"/>
      <c r="BP242" s="782"/>
      <c r="BQ242" s="782"/>
      <c r="BR242" s="782"/>
      <c r="BS242" s="782"/>
      <c r="BT242" s="782"/>
      <c r="BU242" s="782"/>
      <c r="BV242" s="782"/>
      <c r="BW242" s="782"/>
      <c r="BX242" s="782"/>
      <c r="BY242" s="782"/>
      <c r="BZ242" s="782"/>
    </row>
    <row r="243" spans="39:78" s="143" customFormat="1">
      <c r="AM243" s="782"/>
      <c r="AN243" s="782"/>
      <c r="AO243" s="782"/>
      <c r="AP243" s="782"/>
      <c r="AQ243" s="782"/>
      <c r="AR243" s="782"/>
      <c r="AS243" s="782"/>
      <c r="AT243" s="782"/>
      <c r="AU243" s="782"/>
      <c r="AV243" s="782"/>
      <c r="AW243" s="782"/>
      <c r="AX243" s="782"/>
      <c r="AY243" s="782"/>
      <c r="AZ243" s="782"/>
      <c r="BA243" s="782"/>
      <c r="BB243" s="782"/>
      <c r="BC243" s="782"/>
      <c r="BD243" s="782"/>
      <c r="BE243" s="782"/>
      <c r="BF243" s="782"/>
      <c r="BG243" s="782"/>
      <c r="BH243" s="782"/>
      <c r="BI243" s="782"/>
      <c r="BJ243" s="782"/>
      <c r="BK243" s="782"/>
      <c r="BL243" s="782"/>
      <c r="BM243" s="782"/>
      <c r="BN243" s="782"/>
      <c r="BO243" s="782"/>
      <c r="BP243" s="782"/>
      <c r="BQ243" s="782"/>
      <c r="BR243" s="782"/>
      <c r="BS243" s="782"/>
      <c r="BT243" s="782"/>
      <c r="BU243" s="782"/>
      <c r="BV243" s="782"/>
      <c r="BW243" s="782"/>
      <c r="BX243" s="782"/>
      <c r="BY243" s="782"/>
      <c r="BZ243" s="782"/>
    </row>
    <row r="244" spans="39:78" s="143" customFormat="1">
      <c r="AM244" s="782"/>
      <c r="AN244" s="782"/>
      <c r="AO244" s="782"/>
      <c r="AP244" s="782"/>
      <c r="AQ244" s="782"/>
      <c r="AR244" s="782"/>
      <c r="AS244" s="782"/>
      <c r="AT244" s="782"/>
      <c r="AU244" s="782"/>
      <c r="AV244" s="782"/>
      <c r="AW244" s="782"/>
      <c r="AX244" s="782"/>
      <c r="AY244" s="782"/>
      <c r="AZ244" s="782"/>
      <c r="BA244" s="782"/>
      <c r="BB244" s="782"/>
      <c r="BC244" s="782"/>
      <c r="BD244" s="782"/>
      <c r="BE244" s="782"/>
      <c r="BF244" s="782"/>
      <c r="BG244" s="782"/>
      <c r="BH244" s="782"/>
      <c r="BI244" s="782"/>
      <c r="BJ244" s="782"/>
      <c r="BK244" s="782"/>
      <c r="BL244" s="782"/>
      <c r="BM244" s="782"/>
      <c r="BN244" s="782"/>
      <c r="BO244" s="782"/>
      <c r="BP244" s="782"/>
      <c r="BQ244" s="782"/>
      <c r="BR244" s="782"/>
      <c r="BS244" s="782"/>
      <c r="BT244" s="782"/>
      <c r="BU244" s="782"/>
      <c r="BV244" s="782"/>
      <c r="BW244" s="782"/>
      <c r="BX244" s="782"/>
      <c r="BY244" s="782"/>
      <c r="BZ244" s="782"/>
    </row>
    <row r="245" spans="39:78" s="143" customFormat="1">
      <c r="AM245" s="782"/>
      <c r="AN245" s="782"/>
      <c r="AO245" s="782"/>
      <c r="AP245" s="782"/>
      <c r="AQ245" s="782"/>
      <c r="AR245" s="782"/>
      <c r="AS245" s="782"/>
      <c r="AT245" s="782"/>
      <c r="AU245" s="782"/>
      <c r="AV245" s="782"/>
      <c r="AW245" s="782"/>
      <c r="AX245" s="782"/>
      <c r="AY245" s="782"/>
      <c r="AZ245" s="782"/>
      <c r="BA245" s="782"/>
      <c r="BB245" s="782"/>
      <c r="BC245" s="782"/>
      <c r="BD245" s="782"/>
      <c r="BE245" s="782"/>
      <c r="BF245" s="782"/>
      <c r="BG245" s="782"/>
      <c r="BH245" s="782"/>
      <c r="BI245" s="782"/>
      <c r="BJ245" s="782"/>
      <c r="BK245" s="782"/>
      <c r="BL245" s="782"/>
      <c r="BM245" s="782"/>
      <c r="BN245" s="782"/>
      <c r="BO245" s="782"/>
      <c r="BP245" s="782"/>
      <c r="BQ245" s="782"/>
      <c r="BR245" s="782"/>
      <c r="BS245" s="782"/>
      <c r="BT245" s="782"/>
      <c r="BU245" s="782"/>
      <c r="BV245" s="782"/>
      <c r="BW245" s="782"/>
      <c r="BX245" s="782"/>
      <c r="BY245" s="782"/>
      <c r="BZ245" s="782"/>
    </row>
    <row r="246" spans="39:78" s="143" customFormat="1">
      <c r="AM246" s="782"/>
      <c r="AN246" s="782"/>
      <c r="AO246" s="782"/>
      <c r="AP246" s="782"/>
      <c r="AQ246" s="782"/>
      <c r="AR246" s="782"/>
      <c r="AS246" s="782"/>
      <c r="AT246" s="782"/>
      <c r="AU246" s="782"/>
      <c r="AV246" s="782"/>
      <c r="AW246" s="782"/>
      <c r="AX246" s="782"/>
      <c r="AY246" s="782"/>
      <c r="AZ246" s="782"/>
      <c r="BA246" s="782"/>
      <c r="BB246" s="782"/>
      <c r="BC246" s="782"/>
      <c r="BD246" s="782"/>
      <c r="BE246" s="782"/>
      <c r="BF246" s="782"/>
      <c r="BG246" s="782"/>
      <c r="BH246" s="782"/>
      <c r="BI246" s="782"/>
      <c r="BJ246" s="782"/>
      <c r="BK246" s="782"/>
      <c r="BL246" s="782"/>
      <c r="BM246" s="782"/>
      <c r="BN246" s="782"/>
      <c r="BO246" s="782"/>
      <c r="BP246" s="782"/>
      <c r="BQ246" s="782"/>
      <c r="BR246" s="782"/>
      <c r="BS246" s="782"/>
      <c r="BT246" s="782"/>
      <c r="BU246" s="782"/>
      <c r="BV246" s="782"/>
      <c r="BW246" s="782"/>
      <c r="BX246" s="782"/>
      <c r="BY246" s="782"/>
      <c r="BZ246" s="782"/>
    </row>
    <row r="247" spans="39:78" s="143" customFormat="1">
      <c r="AM247" s="782"/>
      <c r="AN247" s="782"/>
      <c r="AO247" s="782"/>
      <c r="AP247" s="782"/>
      <c r="AQ247" s="782"/>
      <c r="AR247" s="782"/>
      <c r="AS247" s="782"/>
      <c r="AT247" s="782"/>
      <c r="AU247" s="782"/>
      <c r="AV247" s="782"/>
      <c r="AW247" s="782"/>
      <c r="AX247" s="782"/>
      <c r="AY247" s="782"/>
      <c r="AZ247" s="782"/>
      <c r="BA247" s="782"/>
      <c r="BB247" s="782"/>
      <c r="BC247" s="782"/>
      <c r="BD247" s="782"/>
      <c r="BE247" s="782"/>
      <c r="BF247" s="782"/>
      <c r="BG247" s="782"/>
      <c r="BH247" s="782"/>
      <c r="BI247" s="782"/>
      <c r="BJ247" s="782"/>
      <c r="BK247" s="782"/>
      <c r="BL247" s="782"/>
      <c r="BM247" s="782"/>
      <c r="BN247" s="782"/>
      <c r="BO247" s="782"/>
      <c r="BP247" s="782"/>
      <c r="BQ247" s="782"/>
      <c r="BR247" s="782"/>
      <c r="BS247" s="782"/>
      <c r="BT247" s="782"/>
      <c r="BU247" s="782"/>
      <c r="BV247" s="782"/>
      <c r="BW247" s="782"/>
      <c r="BX247" s="782"/>
      <c r="BY247" s="782"/>
      <c r="BZ247" s="782"/>
    </row>
    <row r="248" spans="39:78" s="143" customFormat="1">
      <c r="AM248" s="782"/>
      <c r="AN248" s="782"/>
      <c r="AO248" s="782"/>
      <c r="AP248" s="782"/>
      <c r="AQ248" s="782"/>
      <c r="AR248" s="782"/>
      <c r="AS248" s="782"/>
      <c r="AT248" s="782"/>
      <c r="AU248" s="782"/>
      <c r="AV248" s="782"/>
      <c r="AW248" s="782"/>
      <c r="AX248" s="782"/>
      <c r="AY248" s="782"/>
      <c r="AZ248" s="782"/>
      <c r="BA248" s="782"/>
      <c r="BB248" s="782"/>
      <c r="BC248" s="782"/>
      <c r="BD248" s="782"/>
      <c r="BE248" s="782"/>
      <c r="BF248" s="782"/>
      <c r="BG248" s="782"/>
      <c r="BH248" s="782"/>
      <c r="BI248" s="782"/>
      <c r="BJ248" s="782"/>
      <c r="BK248" s="782"/>
      <c r="BL248" s="782"/>
      <c r="BM248" s="782"/>
      <c r="BN248" s="782"/>
      <c r="BO248" s="782"/>
      <c r="BP248" s="782"/>
      <c r="BQ248" s="782"/>
      <c r="BR248" s="782"/>
      <c r="BS248" s="782"/>
      <c r="BT248" s="782"/>
      <c r="BU248" s="782"/>
      <c r="BV248" s="782"/>
      <c r="BW248" s="782"/>
      <c r="BX248" s="782"/>
      <c r="BY248" s="782"/>
      <c r="BZ248" s="782"/>
    </row>
    <row r="249" spans="39:78" s="143" customFormat="1">
      <c r="AM249" s="782"/>
      <c r="AN249" s="782"/>
      <c r="AO249" s="782"/>
      <c r="AP249" s="782"/>
      <c r="AQ249" s="782"/>
      <c r="AR249" s="782"/>
      <c r="AS249" s="782"/>
      <c r="AT249" s="782"/>
      <c r="AU249" s="782"/>
      <c r="AV249" s="782"/>
      <c r="AW249" s="782"/>
      <c r="AX249" s="782"/>
      <c r="AY249" s="782"/>
      <c r="AZ249" s="782"/>
      <c r="BA249" s="782"/>
      <c r="BB249" s="782"/>
      <c r="BC249" s="782"/>
      <c r="BD249" s="782"/>
      <c r="BE249" s="782"/>
      <c r="BF249" s="782"/>
      <c r="BG249" s="782"/>
      <c r="BH249" s="782"/>
      <c r="BI249" s="782"/>
      <c r="BJ249" s="782"/>
      <c r="BK249" s="782"/>
      <c r="BL249" s="782"/>
      <c r="BM249" s="782"/>
      <c r="BN249" s="782"/>
      <c r="BO249" s="782"/>
      <c r="BP249" s="782"/>
      <c r="BQ249" s="782"/>
      <c r="BR249" s="782"/>
      <c r="BS249" s="782"/>
      <c r="BT249" s="782"/>
      <c r="BU249" s="782"/>
      <c r="BV249" s="782"/>
      <c r="BW249" s="782"/>
      <c r="BX249" s="782"/>
      <c r="BY249" s="782"/>
      <c r="BZ249" s="782"/>
    </row>
    <row r="250" spans="39:78" s="143" customFormat="1">
      <c r="AM250" s="782"/>
      <c r="AN250" s="782"/>
      <c r="AO250" s="782"/>
      <c r="AP250" s="782"/>
      <c r="AQ250" s="782"/>
      <c r="AR250" s="782"/>
      <c r="AS250" s="782"/>
      <c r="AT250" s="782"/>
      <c r="AU250" s="782"/>
      <c r="AV250" s="782"/>
      <c r="AW250" s="782"/>
      <c r="AX250" s="782"/>
      <c r="AY250" s="782"/>
      <c r="AZ250" s="782"/>
      <c r="BA250" s="782"/>
      <c r="BB250" s="782"/>
      <c r="BC250" s="782"/>
      <c r="BD250" s="782"/>
      <c r="BE250" s="782"/>
      <c r="BF250" s="782"/>
      <c r="BG250" s="782"/>
      <c r="BH250" s="782"/>
      <c r="BI250" s="782"/>
      <c r="BJ250" s="782"/>
      <c r="BK250" s="782"/>
      <c r="BL250" s="782"/>
      <c r="BM250" s="782"/>
      <c r="BN250" s="782"/>
      <c r="BO250" s="782"/>
      <c r="BP250" s="782"/>
      <c r="BQ250" s="782"/>
      <c r="BR250" s="782"/>
      <c r="BS250" s="782"/>
      <c r="BT250" s="782"/>
      <c r="BU250" s="782"/>
      <c r="BV250" s="782"/>
      <c r="BW250" s="782"/>
      <c r="BX250" s="782"/>
      <c r="BY250" s="782"/>
      <c r="BZ250" s="782"/>
    </row>
    <row r="251" spans="39:78" s="143" customFormat="1">
      <c r="AM251" s="782"/>
      <c r="AN251" s="782"/>
      <c r="AO251" s="782"/>
      <c r="AP251" s="782"/>
      <c r="AQ251" s="782"/>
      <c r="AR251" s="782"/>
      <c r="AS251" s="782"/>
      <c r="AT251" s="782"/>
      <c r="AU251" s="782"/>
      <c r="AV251" s="782"/>
      <c r="AW251" s="782"/>
      <c r="AX251" s="782"/>
      <c r="AY251" s="782"/>
      <c r="AZ251" s="782"/>
      <c r="BA251" s="782"/>
      <c r="BB251" s="782"/>
      <c r="BC251" s="782"/>
      <c r="BD251" s="782"/>
      <c r="BE251" s="782"/>
      <c r="BF251" s="782"/>
      <c r="BG251" s="782"/>
      <c r="BH251" s="782"/>
      <c r="BI251" s="782"/>
      <c r="BJ251" s="782"/>
      <c r="BK251" s="782"/>
      <c r="BL251" s="782"/>
      <c r="BM251" s="782"/>
      <c r="BN251" s="782"/>
      <c r="BO251" s="782"/>
      <c r="BP251" s="782"/>
      <c r="BQ251" s="782"/>
      <c r="BR251" s="782"/>
      <c r="BS251" s="782"/>
      <c r="BT251" s="782"/>
      <c r="BU251" s="782"/>
      <c r="BV251" s="782"/>
      <c r="BW251" s="782"/>
      <c r="BX251" s="782"/>
      <c r="BY251" s="782"/>
      <c r="BZ251" s="782"/>
    </row>
    <row r="252" spans="39:78" s="143" customFormat="1">
      <c r="AM252" s="782"/>
      <c r="AN252" s="782"/>
      <c r="AO252" s="782"/>
      <c r="AP252" s="782"/>
      <c r="AQ252" s="782"/>
      <c r="AR252" s="782"/>
      <c r="AS252" s="782"/>
      <c r="AT252" s="782"/>
      <c r="AU252" s="782"/>
      <c r="AV252" s="782"/>
      <c r="AW252" s="782"/>
      <c r="AX252" s="782"/>
      <c r="AY252" s="782"/>
      <c r="AZ252" s="782"/>
      <c r="BA252" s="782"/>
      <c r="BB252" s="782"/>
      <c r="BC252" s="782"/>
      <c r="BD252" s="782"/>
      <c r="BE252" s="782"/>
      <c r="BF252" s="782"/>
      <c r="BG252" s="782"/>
      <c r="BH252" s="782"/>
      <c r="BI252" s="782"/>
      <c r="BJ252" s="782"/>
      <c r="BK252" s="782"/>
      <c r="BL252" s="782"/>
      <c r="BM252" s="782"/>
      <c r="BN252" s="782"/>
      <c r="BO252" s="782"/>
      <c r="BP252" s="782"/>
      <c r="BQ252" s="782"/>
      <c r="BR252" s="782"/>
      <c r="BS252" s="782"/>
      <c r="BT252" s="782"/>
      <c r="BU252" s="782"/>
      <c r="BV252" s="782"/>
      <c r="BW252" s="782"/>
      <c r="BX252" s="782"/>
      <c r="BY252" s="782"/>
      <c r="BZ252" s="782"/>
    </row>
    <row r="253" spans="39:78" s="143" customFormat="1">
      <c r="AM253" s="782"/>
      <c r="AN253" s="782"/>
      <c r="AO253" s="782"/>
      <c r="AP253" s="782"/>
      <c r="AQ253" s="782"/>
      <c r="AR253" s="782"/>
      <c r="AS253" s="782"/>
      <c r="AT253" s="782"/>
      <c r="AU253" s="782"/>
      <c r="AV253" s="782"/>
      <c r="AW253" s="782"/>
      <c r="AX253" s="782"/>
      <c r="AY253" s="782"/>
      <c r="AZ253" s="782"/>
      <c r="BA253" s="782"/>
      <c r="BB253" s="782"/>
      <c r="BC253" s="782"/>
      <c r="BD253" s="782"/>
      <c r="BE253" s="782"/>
      <c r="BF253" s="782"/>
      <c r="BG253" s="782"/>
      <c r="BH253" s="782"/>
      <c r="BI253" s="782"/>
      <c r="BJ253" s="782"/>
      <c r="BK253" s="782"/>
      <c r="BL253" s="782"/>
      <c r="BM253" s="782"/>
      <c r="BN253" s="782"/>
      <c r="BO253" s="782"/>
      <c r="BP253" s="782"/>
      <c r="BQ253" s="782"/>
      <c r="BR253" s="782"/>
      <c r="BS253" s="782"/>
      <c r="BT253" s="782"/>
      <c r="BU253" s="782"/>
      <c r="BV253" s="782"/>
      <c r="BW253" s="782"/>
      <c r="BX253" s="782"/>
      <c r="BY253" s="782"/>
      <c r="BZ253" s="782"/>
    </row>
    <row r="254" spans="39:78" s="143" customFormat="1">
      <c r="AM254" s="782"/>
      <c r="AN254" s="782"/>
      <c r="AO254" s="782"/>
      <c r="AP254" s="782"/>
      <c r="AQ254" s="782"/>
      <c r="AR254" s="782"/>
      <c r="AS254" s="782"/>
      <c r="AT254" s="782"/>
      <c r="AU254" s="782"/>
      <c r="AV254" s="782"/>
      <c r="AW254" s="782"/>
      <c r="AX254" s="782"/>
      <c r="AY254" s="782"/>
      <c r="AZ254" s="782"/>
      <c r="BA254" s="782"/>
      <c r="BB254" s="782"/>
      <c r="BC254" s="782"/>
      <c r="BD254" s="782"/>
      <c r="BE254" s="782"/>
      <c r="BF254" s="782"/>
      <c r="BG254" s="782"/>
      <c r="BH254" s="782"/>
      <c r="BI254" s="782"/>
      <c r="BJ254" s="782"/>
      <c r="BK254" s="782"/>
      <c r="BL254" s="782"/>
      <c r="BM254" s="782"/>
      <c r="BN254" s="782"/>
      <c r="BO254" s="782"/>
      <c r="BP254" s="782"/>
      <c r="BQ254" s="782"/>
      <c r="BR254" s="782"/>
      <c r="BS254" s="782"/>
      <c r="BT254" s="782"/>
      <c r="BU254" s="782"/>
      <c r="BV254" s="782"/>
      <c r="BW254" s="782"/>
      <c r="BX254" s="782"/>
      <c r="BY254" s="782"/>
      <c r="BZ254" s="782"/>
    </row>
    <row r="255" spans="39:78" s="143" customFormat="1">
      <c r="AM255" s="782"/>
      <c r="AN255" s="782"/>
      <c r="AO255" s="782"/>
      <c r="AP255" s="782"/>
      <c r="AQ255" s="782"/>
      <c r="AR255" s="782"/>
      <c r="AS255" s="782"/>
      <c r="AT255" s="782"/>
      <c r="AU255" s="782"/>
      <c r="AV255" s="782"/>
      <c r="AW255" s="782"/>
      <c r="AX255" s="782"/>
      <c r="AY255" s="782"/>
      <c r="AZ255" s="782"/>
      <c r="BA255" s="782"/>
      <c r="BB255" s="782"/>
      <c r="BC255" s="782"/>
      <c r="BD255" s="782"/>
      <c r="BE255" s="782"/>
      <c r="BF255" s="782"/>
      <c r="BG255" s="782"/>
      <c r="BH255" s="782"/>
      <c r="BI255" s="782"/>
      <c r="BJ255" s="782"/>
      <c r="BK255" s="782"/>
      <c r="BL255" s="782"/>
      <c r="BM255" s="782"/>
      <c r="BN255" s="782"/>
      <c r="BO255" s="782"/>
      <c r="BP255" s="782"/>
      <c r="BQ255" s="782"/>
      <c r="BR255" s="782"/>
      <c r="BS255" s="782"/>
      <c r="BT255" s="782"/>
      <c r="BU255" s="782"/>
      <c r="BV255" s="782"/>
      <c r="BW255" s="782"/>
      <c r="BX255" s="782"/>
      <c r="BY255" s="782"/>
      <c r="BZ255" s="782"/>
    </row>
    <row r="256" spans="39:78" s="143" customFormat="1">
      <c r="AM256" s="782"/>
      <c r="AN256" s="782"/>
      <c r="AO256" s="782"/>
      <c r="AP256" s="782"/>
      <c r="AQ256" s="782"/>
      <c r="AR256" s="782"/>
      <c r="AS256" s="782"/>
      <c r="AT256" s="782"/>
      <c r="AU256" s="782"/>
      <c r="AV256" s="782"/>
      <c r="AW256" s="782"/>
      <c r="AX256" s="782"/>
      <c r="AY256" s="782"/>
      <c r="AZ256" s="782"/>
      <c r="BA256" s="782"/>
      <c r="BB256" s="782"/>
      <c r="BC256" s="782"/>
      <c r="BD256" s="782"/>
      <c r="BE256" s="782"/>
      <c r="BF256" s="782"/>
      <c r="BG256" s="782"/>
      <c r="BH256" s="782"/>
      <c r="BI256" s="782"/>
      <c r="BJ256" s="782"/>
      <c r="BK256" s="782"/>
      <c r="BL256" s="782"/>
      <c r="BM256" s="782"/>
      <c r="BN256" s="782"/>
      <c r="BO256" s="782"/>
      <c r="BP256" s="782"/>
      <c r="BQ256" s="782"/>
      <c r="BR256" s="782"/>
      <c r="BS256" s="782"/>
      <c r="BT256" s="782"/>
      <c r="BU256" s="782"/>
      <c r="BV256" s="782"/>
      <c r="BW256" s="782"/>
      <c r="BX256" s="782"/>
      <c r="BY256" s="782"/>
      <c r="BZ256" s="782"/>
    </row>
    <row r="257" spans="39:78" s="143" customFormat="1">
      <c r="AM257" s="782"/>
      <c r="AN257" s="782"/>
      <c r="AO257" s="782"/>
      <c r="AP257" s="782"/>
      <c r="AQ257" s="782"/>
      <c r="AR257" s="782"/>
      <c r="AS257" s="782"/>
      <c r="AT257" s="782"/>
      <c r="AU257" s="782"/>
      <c r="AV257" s="782"/>
      <c r="AW257" s="782"/>
      <c r="AX257" s="782"/>
      <c r="AY257" s="782"/>
      <c r="AZ257" s="782"/>
      <c r="BA257" s="782"/>
      <c r="BB257" s="782"/>
      <c r="BC257" s="782"/>
      <c r="BD257" s="782"/>
      <c r="BE257" s="782"/>
      <c r="BF257" s="782"/>
      <c r="BG257" s="782"/>
      <c r="BH257" s="782"/>
      <c r="BI257" s="782"/>
      <c r="BJ257" s="782"/>
      <c r="BK257" s="782"/>
      <c r="BL257" s="782"/>
      <c r="BM257" s="782"/>
      <c r="BN257" s="782"/>
      <c r="BO257" s="782"/>
      <c r="BP257" s="782"/>
      <c r="BQ257" s="782"/>
      <c r="BR257" s="782"/>
      <c r="BS257" s="782"/>
      <c r="BT257" s="782"/>
      <c r="BU257" s="782"/>
      <c r="BV257" s="782"/>
      <c r="BW257" s="782"/>
      <c r="BX257" s="782"/>
      <c r="BY257" s="782"/>
      <c r="BZ257" s="782"/>
    </row>
    <row r="258" spans="39:78" s="143" customFormat="1">
      <c r="AM258" s="782"/>
      <c r="AN258" s="782"/>
      <c r="AO258" s="782"/>
      <c r="AP258" s="782"/>
      <c r="AQ258" s="782"/>
      <c r="AR258" s="782"/>
      <c r="AS258" s="782"/>
      <c r="AT258" s="782"/>
      <c r="AU258" s="782"/>
      <c r="AV258" s="782"/>
      <c r="AW258" s="782"/>
      <c r="AX258" s="782"/>
      <c r="AY258" s="782"/>
      <c r="AZ258" s="782"/>
      <c r="BA258" s="782"/>
      <c r="BB258" s="782"/>
      <c r="BC258" s="782"/>
      <c r="BD258" s="782"/>
      <c r="BE258" s="782"/>
      <c r="BF258" s="782"/>
      <c r="BG258" s="782"/>
      <c r="BH258" s="782"/>
      <c r="BI258" s="782"/>
      <c r="BJ258" s="782"/>
      <c r="BK258" s="782"/>
      <c r="BL258" s="782"/>
      <c r="BM258" s="782"/>
      <c r="BN258" s="782"/>
      <c r="BO258" s="782"/>
      <c r="BP258" s="782"/>
      <c r="BQ258" s="782"/>
      <c r="BR258" s="782"/>
      <c r="BS258" s="782"/>
      <c r="BT258" s="782"/>
      <c r="BU258" s="782"/>
      <c r="BV258" s="782"/>
      <c r="BW258" s="782"/>
      <c r="BX258" s="782"/>
      <c r="BY258" s="782"/>
      <c r="BZ258" s="782"/>
    </row>
    <row r="259" spans="39:78" s="143" customFormat="1">
      <c r="AM259" s="782"/>
      <c r="AN259" s="782"/>
      <c r="AO259" s="782"/>
      <c r="AP259" s="782"/>
      <c r="AQ259" s="782"/>
      <c r="AR259" s="782"/>
      <c r="AS259" s="782"/>
      <c r="AT259" s="782"/>
      <c r="AU259" s="782"/>
      <c r="AV259" s="782"/>
      <c r="AW259" s="782"/>
      <c r="AX259" s="782"/>
      <c r="AY259" s="782"/>
      <c r="AZ259" s="782"/>
      <c r="BA259" s="782"/>
      <c r="BB259" s="782"/>
      <c r="BC259" s="782"/>
      <c r="BD259" s="782"/>
      <c r="BE259" s="782"/>
      <c r="BF259" s="782"/>
      <c r="BG259" s="782"/>
      <c r="BH259" s="782"/>
      <c r="BI259" s="782"/>
      <c r="BJ259" s="782"/>
      <c r="BK259" s="782"/>
      <c r="BL259" s="782"/>
      <c r="BM259" s="782"/>
      <c r="BN259" s="782"/>
      <c r="BO259" s="782"/>
      <c r="BP259" s="782"/>
      <c r="BQ259" s="782"/>
      <c r="BR259" s="782"/>
      <c r="BS259" s="782"/>
      <c r="BT259" s="782"/>
      <c r="BU259" s="782"/>
      <c r="BV259" s="782"/>
      <c r="BW259" s="782"/>
      <c r="BX259" s="782"/>
      <c r="BY259" s="782"/>
      <c r="BZ259" s="782"/>
    </row>
    <row r="260" spans="39:78" s="143" customFormat="1">
      <c r="AM260" s="782"/>
      <c r="AN260" s="782"/>
      <c r="AO260" s="782"/>
      <c r="AP260" s="782"/>
      <c r="AQ260" s="782"/>
      <c r="AR260" s="782"/>
      <c r="AS260" s="782"/>
      <c r="AT260" s="782"/>
      <c r="AU260" s="782"/>
      <c r="AV260" s="782"/>
      <c r="AW260" s="782"/>
      <c r="AX260" s="782"/>
      <c r="AY260" s="782"/>
      <c r="AZ260" s="782"/>
      <c r="BA260" s="782"/>
      <c r="BB260" s="782"/>
      <c r="BC260" s="782"/>
      <c r="BD260" s="782"/>
      <c r="BE260" s="782"/>
      <c r="BF260" s="782"/>
      <c r="BG260" s="782"/>
      <c r="BH260" s="782"/>
      <c r="BI260" s="782"/>
      <c r="BJ260" s="782"/>
      <c r="BK260" s="782"/>
      <c r="BL260" s="782"/>
      <c r="BM260" s="782"/>
      <c r="BN260" s="782"/>
      <c r="BO260" s="782"/>
      <c r="BP260" s="782"/>
      <c r="BQ260" s="782"/>
      <c r="BR260" s="782"/>
      <c r="BS260" s="782"/>
      <c r="BT260" s="782"/>
      <c r="BU260" s="782"/>
      <c r="BV260" s="782"/>
      <c r="BW260" s="782"/>
      <c r="BX260" s="782"/>
      <c r="BY260" s="782"/>
      <c r="BZ260" s="782"/>
    </row>
    <row r="261" spans="39:78" s="143" customFormat="1">
      <c r="AM261" s="782"/>
      <c r="AN261" s="782"/>
      <c r="AO261" s="782"/>
      <c r="AP261" s="782"/>
      <c r="AQ261" s="782"/>
      <c r="AR261" s="782"/>
      <c r="AS261" s="782"/>
      <c r="AT261" s="782"/>
      <c r="AU261" s="782"/>
      <c r="AV261" s="782"/>
      <c r="AW261" s="782"/>
      <c r="AX261" s="782"/>
      <c r="AY261" s="782"/>
      <c r="AZ261" s="782"/>
      <c r="BA261" s="782"/>
      <c r="BB261" s="782"/>
      <c r="BC261" s="782"/>
      <c r="BD261" s="782"/>
      <c r="BE261" s="782"/>
      <c r="BF261" s="782"/>
      <c r="BG261" s="782"/>
      <c r="BH261" s="782"/>
      <c r="BI261" s="782"/>
      <c r="BJ261" s="782"/>
      <c r="BK261" s="782"/>
      <c r="BL261" s="782"/>
      <c r="BM261" s="782"/>
      <c r="BN261" s="782"/>
      <c r="BO261" s="782"/>
      <c r="BP261" s="782"/>
      <c r="BQ261" s="782"/>
      <c r="BR261" s="782"/>
      <c r="BS261" s="782"/>
      <c r="BT261" s="782"/>
      <c r="BU261" s="782"/>
      <c r="BV261" s="782"/>
      <c r="BW261" s="782"/>
      <c r="BX261" s="782"/>
      <c r="BY261" s="782"/>
      <c r="BZ261" s="782"/>
    </row>
    <row r="262" spans="39:78" s="143" customFormat="1">
      <c r="AM262" s="782"/>
      <c r="AN262" s="782"/>
      <c r="AO262" s="782"/>
      <c r="AP262" s="782"/>
      <c r="AQ262" s="782"/>
      <c r="AR262" s="782"/>
      <c r="AS262" s="782"/>
      <c r="AT262" s="782"/>
      <c r="AU262" s="782"/>
      <c r="AV262" s="782"/>
      <c r="AW262" s="782"/>
      <c r="AX262" s="782"/>
      <c r="AY262" s="782"/>
      <c r="AZ262" s="782"/>
      <c r="BA262" s="782"/>
      <c r="BB262" s="782"/>
      <c r="BC262" s="782"/>
      <c r="BD262" s="782"/>
      <c r="BE262" s="782"/>
      <c r="BF262" s="782"/>
      <c r="BG262" s="782"/>
      <c r="BH262" s="782"/>
      <c r="BI262" s="782"/>
      <c r="BJ262" s="782"/>
      <c r="BK262" s="782"/>
      <c r="BL262" s="782"/>
      <c r="BM262" s="782"/>
      <c r="BN262" s="782"/>
      <c r="BO262" s="782"/>
      <c r="BP262" s="782"/>
      <c r="BQ262" s="782"/>
      <c r="BR262" s="782"/>
      <c r="BS262" s="782"/>
      <c r="BT262" s="782"/>
      <c r="BU262" s="782"/>
      <c r="BV262" s="782"/>
      <c r="BW262" s="782"/>
      <c r="BX262" s="782"/>
      <c r="BY262" s="782"/>
      <c r="BZ262" s="782"/>
    </row>
    <row r="263" spans="39:78" s="143" customFormat="1">
      <c r="AM263" s="782"/>
      <c r="AN263" s="782"/>
      <c r="AO263" s="782"/>
      <c r="AP263" s="782"/>
      <c r="AQ263" s="782"/>
      <c r="AR263" s="782"/>
      <c r="AS263" s="782"/>
      <c r="AT263" s="782"/>
      <c r="AU263" s="782"/>
      <c r="AV263" s="782"/>
      <c r="AW263" s="782"/>
      <c r="AX263" s="782"/>
      <c r="AY263" s="782"/>
      <c r="AZ263" s="782"/>
      <c r="BA263" s="782"/>
      <c r="BB263" s="782"/>
      <c r="BC263" s="782"/>
      <c r="BD263" s="782"/>
      <c r="BE263" s="782"/>
      <c r="BF263" s="782"/>
      <c r="BG263" s="782"/>
      <c r="BH263" s="782"/>
      <c r="BI263" s="782"/>
      <c r="BJ263" s="782"/>
      <c r="BK263" s="782"/>
      <c r="BL263" s="782"/>
      <c r="BM263" s="782"/>
      <c r="BN263" s="782"/>
      <c r="BO263" s="782"/>
      <c r="BP263" s="782"/>
      <c r="BQ263" s="782"/>
      <c r="BR263" s="782"/>
      <c r="BS263" s="782"/>
      <c r="BT263" s="782"/>
      <c r="BU263" s="782"/>
      <c r="BV263" s="782"/>
      <c r="BW263" s="782"/>
      <c r="BX263" s="782"/>
      <c r="BY263" s="782"/>
      <c r="BZ263" s="782"/>
    </row>
    <row r="264" spans="39:78" s="143" customFormat="1">
      <c r="AM264" s="782"/>
      <c r="AN264" s="782"/>
      <c r="AO264" s="782"/>
      <c r="AP264" s="782"/>
      <c r="AQ264" s="782"/>
      <c r="AR264" s="782"/>
      <c r="AS264" s="782"/>
      <c r="AT264" s="782"/>
      <c r="AU264" s="782"/>
      <c r="AV264" s="782"/>
      <c r="AW264" s="782"/>
      <c r="AX264" s="782"/>
      <c r="AY264" s="782"/>
      <c r="AZ264" s="782"/>
      <c r="BA264" s="782"/>
      <c r="BB264" s="782"/>
      <c r="BC264" s="782"/>
      <c r="BD264" s="782"/>
      <c r="BE264" s="782"/>
      <c r="BF264" s="782"/>
      <c r="BG264" s="782"/>
      <c r="BH264" s="782"/>
      <c r="BI264" s="782"/>
      <c r="BJ264" s="782"/>
      <c r="BK264" s="782"/>
      <c r="BL264" s="782"/>
      <c r="BM264" s="782"/>
      <c r="BN264" s="782"/>
      <c r="BO264" s="782"/>
      <c r="BP264" s="782"/>
      <c r="BQ264" s="782"/>
      <c r="BR264" s="782"/>
      <c r="BS264" s="782"/>
      <c r="BT264" s="782"/>
      <c r="BU264" s="782"/>
      <c r="BV264" s="782"/>
      <c r="BW264" s="782"/>
      <c r="BX264" s="782"/>
      <c r="BY264" s="782"/>
      <c r="BZ264" s="782"/>
    </row>
    <row r="265" spans="39:78" s="143" customFormat="1">
      <c r="AM265" s="782"/>
      <c r="AN265" s="782"/>
      <c r="AO265" s="782"/>
      <c r="AP265" s="782"/>
      <c r="AQ265" s="782"/>
      <c r="AR265" s="782"/>
      <c r="AS265" s="782"/>
      <c r="AT265" s="782"/>
      <c r="AU265" s="782"/>
      <c r="AV265" s="782"/>
      <c r="AW265" s="782"/>
      <c r="AX265" s="782"/>
      <c r="AY265" s="782"/>
      <c r="AZ265" s="782"/>
      <c r="BA265" s="782"/>
      <c r="BB265" s="782"/>
      <c r="BC265" s="782"/>
      <c r="BD265" s="782"/>
      <c r="BE265" s="782"/>
      <c r="BF265" s="782"/>
      <c r="BG265" s="782"/>
      <c r="BH265" s="782"/>
      <c r="BI265" s="782"/>
      <c r="BJ265" s="782"/>
      <c r="BK265" s="782"/>
      <c r="BL265" s="782"/>
      <c r="BM265" s="782"/>
      <c r="BN265" s="782"/>
      <c r="BO265" s="782"/>
      <c r="BP265" s="782"/>
      <c r="BQ265" s="782"/>
      <c r="BR265" s="782"/>
      <c r="BS265" s="782"/>
      <c r="BT265" s="782"/>
      <c r="BU265" s="782"/>
      <c r="BV265" s="782"/>
      <c r="BW265" s="782"/>
      <c r="BX265" s="782"/>
      <c r="BY265" s="782"/>
      <c r="BZ265" s="782"/>
    </row>
    <row r="266" spans="39:78" s="143" customFormat="1">
      <c r="AM266" s="782"/>
      <c r="AN266" s="782"/>
      <c r="AO266" s="782"/>
      <c r="AP266" s="782"/>
      <c r="AQ266" s="782"/>
      <c r="AR266" s="782"/>
      <c r="AS266" s="782"/>
      <c r="AT266" s="782"/>
      <c r="AU266" s="782"/>
      <c r="AV266" s="782"/>
      <c r="AW266" s="782"/>
      <c r="AX266" s="782"/>
      <c r="AY266" s="782"/>
      <c r="AZ266" s="782"/>
      <c r="BA266" s="782"/>
      <c r="BB266" s="782"/>
      <c r="BC266" s="782"/>
      <c r="BD266" s="782"/>
      <c r="BE266" s="782"/>
      <c r="BF266" s="782"/>
      <c r="BG266" s="782"/>
      <c r="BH266" s="782"/>
      <c r="BI266" s="782"/>
      <c r="BJ266" s="782"/>
      <c r="BK266" s="782"/>
      <c r="BL266" s="782"/>
      <c r="BM266" s="782"/>
      <c r="BN266" s="782"/>
      <c r="BO266" s="782"/>
      <c r="BP266" s="782"/>
      <c r="BQ266" s="782"/>
      <c r="BR266" s="782"/>
      <c r="BS266" s="782"/>
      <c r="BT266" s="782"/>
      <c r="BU266" s="782"/>
      <c r="BV266" s="782"/>
      <c r="BW266" s="782"/>
      <c r="BX266" s="782"/>
      <c r="BY266" s="782"/>
      <c r="BZ266" s="782"/>
    </row>
    <row r="267" spans="39:78" s="143" customFormat="1">
      <c r="AM267" s="782"/>
      <c r="AN267" s="782"/>
      <c r="AO267" s="782"/>
      <c r="AP267" s="782"/>
      <c r="AQ267" s="782"/>
      <c r="AR267" s="782"/>
      <c r="AS267" s="782"/>
      <c r="AT267" s="782"/>
      <c r="AU267" s="782"/>
      <c r="AV267" s="782"/>
      <c r="AW267" s="782"/>
      <c r="AX267" s="782"/>
      <c r="AY267" s="782"/>
      <c r="AZ267" s="782"/>
      <c r="BA267" s="782"/>
      <c r="BB267" s="782"/>
      <c r="BC267" s="782"/>
      <c r="BD267" s="782"/>
      <c r="BE267" s="782"/>
      <c r="BF267" s="782"/>
      <c r="BG267" s="782"/>
      <c r="BH267" s="782"/>
      <c r="BI267" s="782"/>
      <c r="BJ267" s="782"/>
      <c r="BK267" s="782"/>
      <c r="BL267" s="782"/>
      <c r="BM267" s="782"/>
      <c r="BN267" s="782"/>
      <c r="BO267" s="782"/>
      <c r="BP267" s="782"/>
      <c r="BQ267" s="782"/>
      <c r="BR267" s="782"/>
      <c r="BS267" s="782"/>
      <c r="BT267" s="782"/>
      <c r="BU267" s="782"/>
      <c r="BV267" s="782"/>
      <c r="BW267" s="782"/>
      <c r="BX267" s="782"/>
      <c r="BY267" s="782"/>
      <c r="BZ267" s="782"/>
    </row>
    <row r="268" spans="39:78" s="143" customFormat="1">
      <c r="AM268" s="782"/>
      <c r="AN268" s="782"/>
      <c r="AO268" s="782"/>
      <c r="AP268" s="782"/>
      <c r="AQ268" s="782"/>
      <c r="AR268" s="782"/>
      <c r="AS268" s="782"/>
      <c r="AT268" s="782"/>
      <c r="AU268" s="782"/>
      <c r="AV268" s="782"/>
      <c r="AW268" s="782"/>
      <c r="AX268" s="782"/>
      <c r="AY268" s="782"/>
      <c r="AZ268" s="782"/>
      <c r="BA268" s="782"/>
      <c r="BB268" s="782"/>
      <c r="BC268" s="782"/>
      <c r="BD268" s="782"/>
      <c r="BE268" s="782"/>
      <c r="BF268" s="782"/>
      <c r="BG268" s="782"/>
      <c r="BH268" s="782"/>
      <c r="BI268" s="782"/>
      <c r="BJ268" s="782"/>
      <c r="BK268" s="782"/>
      <c r="BL268" s="782"/>
      <c r="BM268" s="782"/>
      <c r="BN268" s="782"/>
      <c r="BO268" s="782"/>
      <c r="BP268" s="782"/>
      <c r="BQ268" s="782"/>
      <c r="BR268" s="782"/>
      <c r="BS268" s="782"/>
      <c r="BT268" s="782"/>
      <c r="BU268" s="782"/>
      <c r="BV268" s="782"/>
      <c r="BW268" s="782"/>
      <c r="BX268" s="782"/>
      <c r="BY268" s="782"/>
      <c r="BZ268" s="782"/>
    </row>
    <row r="269" spans="39:78" s="143" customFormat="1">
      <c r="AM269" s="782"/>
      <c r="AN269" s="782"/>
      <c r="AO269" s="782"/>
      <c r="AP269" s="782"/>
      <c r="AQ269" s="782"/>
      <c r="AR269" s="782"/>
      <c r="AS269" s="782"/>
      <c r="AT269" s="782"/>
      <c r="AU269" s="782"/>
      <c r="AV269" s="782"/>
      <c r="AW269" s="782"/>
      <c r="AX269" s="782"/>
      <c r="AY269" s="782"/>
      <c r="AZ269" s="782"/>
      <c r="BA269" s="782"/>
      <c r="BB269" s="782"/>
      <c r="BC269" s="782"/>
      <c r="BD269" s="782"/>
      <c r="BE269" s="782"/>
      <c r="BF269" s="782"/>
      <c r="BG269" s="782"/>
      <c r="BH269" s="782"/>
      <c r="BI269" s="782"/>
      <c r="BJ269" s="782"/>
      <c r="BK269" s="782"/>
      <c r="BL269" s="782"/>
      <c r="BM269" s="782"/>
      <c r="BN269" s="782"/>
      <c r="BO269" s="782"/>
      <c r="BP269" s="782"/>
      <c r="BQ269" s="782"/>
      <c r="BR269" s="782"/>
      <c r="BS269" s="782"/>
      <c r="BT269" s="782"/>
      <c r="BU269" s="782"/>
      <c r="BV269" s="782"/>
      <c r="BW269" s="782"/>
      <c r="BX269" s="782"/>
      <c r="BY269" s="782"/>
      <c r="BZ269" s="782"/>
    </row>
    <row r="270" spans="39:78" s="143" customFormat="1">
      <c r="AM270" s="782"/>
      <c r="AN270" s="782"/>
      <c r="AO270" s="782"/>
      <c r="AP270" s="782"/>
      <c r="AQ270" s="782"/>
      <c r="AR270" s="782"/>
      <c r="AS270" s="782"/>
      <c r="AT270" s="782"/>
      <c r="AU270" s="782"/>
      <c r="AV270" s="782"/>
      <c r="AW270" s="782"/>
      <c r="AX270" s="782"/>
      <c r="AY270" s="782"/>
      <c r="AZ270" s="782"/>
      <c r="BA270" s="782"/>
      <c r="BB270" s="782"/>
      <c r="BC270" s="782"/>
      <c r="BD270" s="782"/>
      <c r="BE270" s="782"/>
      <c r="BF270" s="782"/>
      <c r="BG270" s="782"/>
      <c r="BH270" s="782"/>
      <c r="BI270" s="782"/>
      <c r="BJ270" s="782"/>
      <c r="BK270" s="782"/>
      <c r="BL270" s="782"/>
      <c r="BM270" s="782"/>
      <c r="BN270" s="782"/>
      <c r="BO270" s="782"/>
      <c r="BP270" s="782"/>
      <c r="BQ270" s="782"/>
      <c r="BR270" s="782"/>
      <c r="BS270" s="782"/>
      <c r="BT270" s="782"/>
      <c r="BU270" s="782"/>
      <c r="BV270" s="782"/>
      <c r="BW270" s="782"/>
      <c r="BX270" s="782"/>
      <c r="BY270" s="782"/>
      <c r="BZ270" s="782"/>
    </row>
    <row r="271" spans="39:78" s="143" customFormat="1">
      <c r="AM271" s="782"/>
      <c r="AN271" s="782"/>
      <c r="AO271" s="782"/>
      <c r="AP271" s="782"/>
      <c r="AQ271" s="782"/>
      <c r="AR271" s="782"/>
      <c r="AS271" s="782"/>
      <c r="AT271" s="782"/>
      <c r="AU271" s="782"/>
      <c r="AV271" s="782"/>
      <c r="AW271" s="782"/>
      <c r="AX271" s="782"/>
      <c r="AY271" s="782"/>
      <c r="AZ271" s="782"/>
      <c r="BA271" s="782"/>
      <c r="BB271" s="782"/>
      <c r="BC271" s="782"/>
      <c r="BD271" s="782"/>
      <c r="BE271" s="782"/>
      <c r="BF271" s="782"/>
      <c r="BG271" s="782"/>
      <c r="BH271" s="782"/>
      <c r="BI271" s="782"/>
      <c r="BJ271" s="782"/>
      <c r="BK271" s="782"/>
      <c r="BL271" s="782"/>
      <c r="BM271" s="782"/>
      <c r="BN271" s="782"/>
      <c r="BO271" s="782"/>
      <c r="BP271" s="782"/>
      <c r="BQ271" s="782"/>
      <c r="BR271" s="782"/>
      <c r="BS271" s="782"/>
      <c r="BT271" s="782"/>
      <c r="BU271" s="782"/>
      <c r="BV271" s="782"/>
      <c r="BW271" s="782"/>
      <c r="BX271" s="782"/>
      <c r="BY271" s="782"/>
      <c r="BZ271" s="782"/>
    </row>
    <row r="272" spans="39:78" s="143" customFormat="1">
      <c r="AM272" s="782"/>
      <c r="AN272" s="782"/>
      <c r="AO272" s="782"/>
      <c r="AP272" s="782"/>
      <c r="AQ272" s="782"/>
      <c r="AR272" s="782"/>
      <c r="AS272" s="782"/>
      <c r="AT272" s="782"/>
      <c r="AU272" s="782"/>
      <c r="AV272" s="782"/>
      <c r="AW272" s="782"/>
      <c r="AX272" s="782"/>
      <c r="AY272" s="782"/>
      <c r="AZ272" s="782"/>
      <c r="BA272" s="782"/>
      <c r="BB272" s="782"/>
      <c r="BC272" s="782"/>
      <c r="BD272" s="782"/>
      <c r="BE272" s="782"/>
      <c r="BF272" s="782"/>
      <c r="BG272" s="782"/>
      <c r="BH272" s="782"/>
      <c r="BI272" s="782"/>
      <c r="BJ272" s="782"/>
      <c r="BK272" s="782"/>
      <c r="BL272" s="782"/>
      <c r="BM272" s="782"/>
      <c r="BN272" s="782"/>
      <c r="BO272" s="782"/>
      <c r="BP272" s="782"/>
      <c r="BQ272" s="782"/>
      <c r="BR272" s="782"/>
      <c r="BS272" s="782"/>
      <c r="BT272" s="782"/>
      <c r="BU272" s="782"/>
      <c r="BV272" s="782"/>
      <c r="BW272" s="782"/>
      <c r="BX272" s="782"/>
      <c r="BY272" s="782"/>
      <c r="BZ272" s="782"/>
    </row>
    <row r="273" s="143" customFormat="1"/>
    <row r="274" s="143" customFormat="1"/>
    <row r="275" s="143" customFormat="1"/>
    <row r="276" s="143" customFormat="1"/>
    <row r="277" s="143" customFormat="1"/>
    <row r="278" s="143" customFormat="1"/>
    <row r="279" s="143" customFormat="1"/>
    <row r="280" s="143" customFormat="1"/>
    <row r="281" s="143" customFormat="1"/>
    <row r="282" s="143" customFormat="1"/>
    <row r="283" s="143" customFormat="1"/>
    <row r="284" s="143" customFormat="1"/>
    <row r="285" s="143" customFormat="1"/>
    <row r="286" s="143" customFormat="1"/>
    <row r="287" s="143" customFormat="1"/>
    <row r="288" s="143" customFormat="1"/>
    <row r="289" s="143" customFormat="1"/>
    <row r="290" s="143" customFormat="1"/>
    <row r="291" s="143" customFormat="1"/>
    <row r="292" s="143" customFormat="1"/>
    <row r="293" s="143" customFormat="1"/>
    <row r="294" s="143" customFormat="1"/>
    <row r="295" s="143" customFormat="1"/>
    <row r="296" s="143" customFormat="1"/>
    <row r="297" s="143" customFormat="1"/>
    <row r="298" s="143" customFormat="1"/>
    <row r="299" s="143" customFormat="1"/>
    <row r="300" s="143" customFormat="1"/>
    <row r="301" s="143" customFormat="1"/>
    <row r="302" s="143" customFormat="1"/>
    <row r="303" s="143" customFormat="1"/>
    <row r="304" s="143" customFormat="1"/>
    <row r="305" s="143" customFormat="1"/>
    <row r="306" s="143" customFormat="1"/>
    <row r="307" s="143" customFormat="1"/>
    <row r="308" s="143" customFormat="1"/>
    <row r="309" s="143" customFormat="1"/>
    <row r="310" s="143" customFormat="1"/>
    <row r="311" s="143" customFormat="1"/>
    <row r="312" s="143" customFormat="1"/>
    <row r="313" s="143" customFormat="1"/>
    <row r="314" s="143" customFormat="1"/>
    <row r="315" s="143" customFormat="1"/>
    <row r="316" s="143" customFormat="1"/>
    <row r="317" s="143" customFormat="1"/>
    <row r="318" s="143" customFormat="1"/>
    <row r="319" s="143" customFormat="1"/>
    <row r="320" s="143" customFormat="1"/>
    <row r="321" s="143" customFormat="1"/>
    <row r="322" s="143" customFormat="1"/>
    <row r="323" s="143" customFormat="1"/>
    <row r="324" s="143" customFormat="1"/>
    <row r="325" s="143" customFormat="1"/>
    <row r="326" s="143" customFormat="1"/>
    <row r="327" s="143" customFormat="1"/>
    <row r="328" s="143" customFormat="1"/>
    <row r="329" s="143" customFormat="1"/>
    <row r="330" s="143" customFormat="1"/>
    <row r="331" s="143" customFormat="1"/>
    <row r="332" s="143" customFormat="1"/>
    <row r="333" s="143" customFormat="1"/>
    <row r="334" s="143" customFormat="1"/>
    <row r="335" s="143" customFormat="1"/>
    <row r="336" s="143" customFormat="1"/>
    <row r="337" s="143" customFormat="1"/>
    <row r="338" s="143" customFormat="1"/>
    <row r="339" s="143" customFormat="1"/>
    <row r="340" s="143" customFormat="1"/>
    <row r="341" s="143" customFormat="1"/>
    <row r="342" s="143" customFormat="1"/>
    <row r="343" s="143" customFormat="1"/>
    <row r="344" s="143" customFormat="1"/>
    <row r="345" s="143" customFormat="1"/>
    <row r="346" s="143" customFormat="1"/>
    <row r="347" s="143" customFormat="1"/>
    <row r="348" s="143" customFormat="1"/>
    <row r="349" s="143" customFormat="1"/>
    <row r="350" s="143" customFormat="1"/>
    <row r="351" s="143" customFormat="1"/>
    <row r="352" s="143" customFormat="1"/>
    <row r="353" s="143" customFormat="1"/>
    <row r="354" s="143" customFormat="1"/>
    <row r="355" s="143" customFormat="1"/>
    <row r="356" s="143" customFormat="1"/>
    <row r="357" s="143" customFormat="1"/>
    <row r="358" s="143" customFormat="1"/>
    <row r="359" s="143" customFormat="1"/>
    <row r="360" s="143" customFormat="1"/>
    <row r="361" s="143" customFormat="1"/>
    <row r="362" s="143" customFormat="1"/>
    <row r="363" s="143" customFormat="1"/>
    <row r="364" s="143" customFormat="1"/>
    <row r="365" s="143" customFormat="1"/>
    <row r="366" s="143" customFormat="1"/>
    <row r="367" s="143" customFormat="1"/>
    <row r="368" s="143" customFormat="1"/>
    <row r="369" s="143" customFormat="1"/>
    <row r="370" s="143" customFormat="1"/>
    <row r="371" s="143" customFormat="1"/>
    <row r="372" s="143" customFormat="1"/>
    <row r="373" s="143" customFormat="1"/>
    <row r="374" s="143" customFormat="1"/>
    <row r="375" s="143" customFormat="1"/>
    <row r="376" s="143" customFormat="1"/>
    <row r="377" s="143" customFormat="1"/>
    <row r="378" s="143" customFormat="1"/>
    <row r="379" s="143" customFormat="1"/>
    <row r="380" s="143" customFormat="1"/>
    <row r="381" s="143" customFormat="1"/>
    <row r="382" s="143" customFormat="1"/>
    <row r="383" s="143" customFormat="1"/>
    <row r="384" s="143" customFormat="1"/>
    <row r="385" s="143" customFormat="1"/>
    <row r="386" s="143" customFormat="1"/>
    <row r="387" s="143" customFormat="1"/>
    <row r="388" s="143" customFormat="1"/>
    <row r="389" s="143" customFormat="1"/>
    <row r="390" s="143" customFormat="1"/>
    <row r="391" s="143" customFormat="1"/>
    <row r="392" s="143" customFormat="1"/>
    <row r="393" s="143" customFormat="1"/>
    <row r="394" s="143" customFormat="1"/>
    <row r="395" s="143" customFormat="1"/>
    <row r="396" s="143" customFormat="1"/>
    <row r="397" s="143" customFormat="1"/>
    <row r="398" s="143" customFormat="1"/>
    <row r="399" s="143" customFormat="1"/>
    <row r="400" s="143" customFormat="1"/>
    <row r="401" s="143" customFormat="1"/>
    <row r="402" s="143" customFormat="1"/>
    <row r="403" s="143" customFormat="1"/>
    <row r="404" s="143" customFormat="1"/>
    <row r="405" s="143" customFormat="1"/>
    <row r="406" s="143" customFormat="1"/>
    <row r="407" s="143" customFormat="1"/>
    <row r="408" s="143" customFormat="1"/>
    <row r="409" s="143" customFormat="1"/>
    <row r="410" s="143" customFormat="1"/>
    <row r="411" s="143" customFormat="1"/>
    <row r="412" s="143" customFormat="1"/>
    <row r="413" s="143" customFormat="1"/>
    <row r="414" s="143" customFormat="1"/>
    <row r="415" s="143" customFormat="1"/>
    <row r="416" s="143" customFormat="1"/>
    <row r="417" s="143" customFormat="1"/>
    <row r="418" s="143" customFormat="1"/>
    <row r="419" s="143" customFormat="1"/>
    <row r="420" s="143" customFormat="1"/>
    <row r="421" s="143" customFormat="1"/>
    <row r="422" s="143" customFormat="1"/>
    <row r="423" s="143" customFormat="1"/>
    <row r="424" s="143" customFormat="1"/>
    <row r="425" s="143" customFormat="1"/>
    <row r="426" s="143" customFormat="1"/>
    <row r="427" s="143" customFormat="1"/>
    <row r="428" s="143" customFormat="1"/>
    <row r="429" s="143" customFormat="1"/>
    <row r="430" s="143" customFormat="1"/>
    <row r="431" s="143" customFormat="1"/>
    <row r="432" s="143" customFormat="1"/>
    <row r="433" s="143" customFormat="1"/>
    <row r="434" s="143" customFormat="1"/>
    <row r="435" s="143" customFormat="1"/>
    <row r="436" s="143" customFormat="1"/>
    <row r="437" s="143" customFormat="1"/>
    <row r="438" s="143" customFormat="1"/>
    <row r="439" s="143" customFormat="1"/>
    <row r="440" s="143" customFormat="1"/>
    <row r="441" s="143" customFormat="1"/>
    <row r="442" s="143" customFormat="1"/>
    <row r="443" s="143" customFormat="1"/>
    <row r="444" s="143" customFormat="1"/>
    <row r="445" s="143" customFormat="1"/>
    <row r="446" s="143" customFormat="1"/>
    <row r="447" s="143" customFormat="1"/>
    <row r="448" s="143" customFormat="1"/>
    <row r="449" s="143" customFormat="1"/>
    <row r="450" s="143" customFormat="1"/>
    <row r="451" s="143" customFormat="1"/>
    <row r="452" s="143" customFormat="1"/>
    <row r="453" s="143" customFormat="1"/>
    <row r="454" s="143" customFormat="1"/>
    <row r="455" s="143" customFormat="1"/>
    <row r="456" s="143" customFormat="1"/>
    <row r="457" s="143" customFormat="1"/>
    <row r="458" s="143" customFormat="1"/>
    <row r="459" s="143" customFormat="1"/>
    <row r="460" s="143" customFormat="1"/>
    <row r="461" s="143" customFormat="1"/>
    <row r="462" s="143" customFormat="1"/>
    <row r="463" s="143" customFormat="1"/>
    <row r="464" s="143" customFormat="1"/>
    <row r="465" s="143" customFormat="1"/>
    <row r="466" s="143" customFormat="1"/>
    <row r="467" s="143" customFormat="1"/>
    <row r="468" s="143" customFormat="1"/>
    <row r="469" s="143" customFormat="1"/>
    <row r="470" s="143" customFormat="1"/>
    <row r="471" s="143" customFormat="1"/>
    <row r="472" s="143" customFormat="1"/>
    <row r="473" s="143" customFormat="1"/>
    <row r="474" s="143" customFormat="1"/>
    <row r="475" s="143" customFormat="1"/>
    <row r="476" s="143" customFormat="1"/>
    <row r="477" s="143" customFormat="1"/>
    <row r="478" s="143" customFormat="1"/>
    <row r="479" s="143" customFormat="1"/>
    <row r="480" s="143" customFormat="1"/>
    <row r="481" s="143" customFormat="1"/>
    <row r="482" s="143" customFormat="1"/>
    <row r="483" s="143" customFormat="1"/>
    <row r="484" s="143" customFormat="1"/>
    <row r="485" s="143" customFormat="1"/>
    <row r="486" s="143" customFormat="1"/>
    <row r="487" s="143" customFormat="1"/>
    <row r="488" s="143" customFormat="1"/>
    <row r="489" s="143" customFormat="1"/>
    <row r="490" s="143" customFormat="1"/>
    <row r="491" s="143" customFormat="1"/>
    <row r="492" s="143" customFormat="1"/>
    <row r="493" s="143" customFormat="1"/>
    <row r="494" s="143" customFormat="1"/>
    <row r="495" s="143" customFormat="1"/>
    <row r="496" s="143" customFormat="1"/>
    <row r="497" s="143" customFormat="1"/>
    <row r="498" s="143" customFormat="1"/>
    <row r="499" s="143" customFormat="1"/>
    <row r="500" s="143" customFormat="1"/>
    <row r="501" s="143" customFormat="1"/>
    <row r="502" s="143" customFormat="1"/>
    <row r="503" s="143" customFormat="1"/>
    <row r="504" s="143" customFormat="1"/>
    <row r="505" s="143" customFormat="1"/>
    <row r="506" s="143" customFormat="1"/>
    <row r="507" s="143" customFormat="1"/>
    <row r="508" s="143" customFormat="1"/>
    <row r="509" s="143" customFormat="1"/>
    <row r="510" s="143" customFormat="1"/>
    <row r="511" s="143" customFormat="1"/>
    <row r="512" s="143" customFormat="1"/>
    <row r="513" s="143" customFormat="1"/>
    <row r="514" s="143" customFormat="1"/>
    <row r="515" s="143" customFormat="1"/>
    <row r="516" s="143" customFormat="1"/>
    <row r="517" s="143" customFormat="1"/>
    <row r="518" s="143" customFormat="1"/>
    <row r="519" s="143" customFormat="1"/>
    <row r="520" s="143" customFormat="1"/>
    <row r="521" s="143" customFormat="1"/>
    <row r="522" s="143" customFormat="1"/>
    <row r="523" s="143" customFormat="1"/>
    <row r="524" s="143" customFormat="1"/>
    <row r="525" s="143" customFormat="1"/>
    <row r="526" s="143" customFormat="1"/>
    <row r="527" s="143" customFormat="1"/>
    <row r="528" s="143" customFormat="1"/>
    <row r="529" s="143" customFormat="1"/>
    <row r="530" s="143" customFormat="1"/>
    <row r="531" s="143" customFormat="1"/>
    <row r="532" s="143" customFormat="1"/>
    <row r="533" s="143" customFormat="1"/>
    <row r="534" s="143" customFormat="1"/>
    <row r="535" s="143" customFormat="1"/>
    <row r="536" s="143" customFormat="1"/>
    <row r="537" s="143" customFormat="1"/>
    <row r="538" s="143" customFormat="1"/>
    <row r="539" s="143" customFormat="1"/>
    <row r="540" s="143" customFormat="1"/>
    <row r="541" s="143" customFormat="1"/>
    <row r="542" s="143" customFormat="1"/>
    <row r="543" s="143" customFormat="1"/>
    <row r="544" s="143" customFormat="1"/>
    <row r="545" s="143" customFormat="1"/>
    <row r="546" s="143" customFormat="1"/>
    <row r="547" s="143" customFormat="1"/>
    <row r="548" s="143" customFormat="1"/>
    <row r="549" s="143" customFormat="1"/>
    <row r="550" s="143" customFormat="1"/>
    <row r="551" s="143" customFormat="1"/>
    <row r="552" s="143" customFormat="1"/>
    <row r="553" s="143" customFormat="1"/>
    <row r="554" s="143" customFormat="1"/>
    <row r="555" s="143" customFormat="1"/>
    <row r="556" s="143" customFormat="1"/>
    <row r="557" s="143" customFormat="1"/>
    <row r="558" s="143" customFormat="1"/>
    <row r="559" s="143" customFormat="1"/>
    <row r="560" s="143" customFormat="1"/>
    <row r="561" s="143" customFormat="1"/>
    <row r="562" s="143" customFormat="1"/>
    <row r="563" s="143" customFormat="1"/>
    <row r="564" s="143" customFormat="1"/>
    <row r="565" s="143" customFormat="1"/>
    <row r="566" s="143" customFormat="1"/>
    <row r="567" s="143" customFormat="1"/>
    <row r="568" s="143" customFormat="1"/>
    <row r="569" s="143" customFormat="1"/>
    <row r="570" s="143" customFormat="1"/>
    <row r="571" s="143" customFormat="1"/>
    <row r="572" s="143" customFormat="1"/>
    <row r="573" s="143" customFormat="1"/>
    <row r="574" s="143" customFormat="1"/>
    <row r="575" s="143" customFormat="1"/>
    <row r="576" s="143" customFormat="1"/>
    <row r="577" s="143" customFormat="1"/>
    <row r="578" s="143" customFormat="1"/>
    <row r="579" s="143" customFormat="1"/>
    <row r="580" s="143" customFormat="1"/>
    <row r="581" s="143" customFormat="1"/>
    <row r="582" s="143" customFormat="1"/>
    <row r="583" s="143" customFormat="1"/>
    <row r="584" s="143" customFormat="1"/>
    <row r="585" s="143" customFormat="1"/>
    <row r="586" s="143" customFormat="1"/>
    <row r="587" s="143" customFormat="1"/>
    <row r="588" s="143" customFormat="1"/>
    <row r="589" s="143" customFormat="1"/>
    <row r="590" s="143" customFormat="1"/>
    <row r="591" s="143" customFormat="1"/>
    <row r="592" s="143" customFormat="1"/>
    <row r="593" s="143" customFormat="1"/>
    <row r="594" s="143" customFormat="1"/>
    <row r="595" s="143" customFormat="1"/>
    <row r="596" s="143" customFormat="1"/>
    <row r="597" s="143" customFormat="1"/>
    <row r="598" s="143" customFormat="1"/>
    <row r="599" s="143" customFormat="1"/>
    <row r="600" s="143" customFormat="1"/>
    <row r="601" s="143" customFormat="1"/>
    <row r="602" s="143" customFormat="1"/>
    <row r="603" s="143" customFormat="1"/>
    <row r="604" s="143" customFormat="1"/>
    <row r="605" s="143" customFormat="1"/>
    <row r="606" s="143" customFormat="1"/>
    <row r="607" s="143" customFormat="1"/>
    <row r="608" s="143" customFormat="1"/>
    <row r="609" s="143" customFormat="1"/>
    <row r="610" s="143" customFormat="1"/>
    <row r="611" s="143" customFormat="1"/>
    <row r="612" s="143" customFormat="1"/>
    <row r="613" s="143" customFormat="1"/>
    <row r="614" s="143" customFormat="1"/>
    <row r="615" s="143" customFormat="1"/>
    <row r="616" s="143" customFormat="1"/>
    <row r="617" s="143" customFormat="1"/>
    <row r="618" s="143" customFormat="1"/>
    <row r="619" s="143" customFormat="1"/>
    <row r="620" s="143" customFormat="1"/>
    <row r="621" s="143" customFormat="1"/>
    <row r="622" s="143" customFormat="1"/>
    <row r="623" s="143" customFormat="1"/>
    <row r="624" s="143" customFormat="1"/>
    <row r="625" s="143" customFormat="1"/>
    <row r="626" s="143" customFormat="1"/>
    <row r="627" s="143" customFormat="1"/>
    <row r="628" s="143" customFormat="1"/>
    <row r="629" s="143" customFormat="1"/>
    <row r="630" s="143" customFormat="1"/>
    <row r="631" s="143" customFormat="1"/>
    <row r="632" s="143" customFormat="1"/>
    <row r="633" s="143" customFormat="1"/>
    <row r="634" s="143" customFormat="1"/>
    <row r="635" s="143" customFormat="1"/>
    <row r="636" s="143" customFormat="1"/>
    <row r="637" s="143" customFormat="1"/>
    <row r="638" s="143" customFormat="1"/>
    <row r="639" s="143" customFormat="1"/>
    <row r="640" s="143" customFormat="1"/>
    <row r="641" s="143" customFormat="1"/>
    <row r="642" s="143" customFormat="1"/>
    <row r="643" s="143" customFormat="1"/>
    <row r="644" s="143" customFormat="1"/>
    <row r="645" s="143" customFormat="1"/>
    <row r="646" s="143" customFormat="1"/>
    <row r="647" s="143" customFormat="1"/>
    <row r="648" s="143" customFormat="1"/>
    <row r="649" s="143" customFormat="1"/>
    <row r="650" s="143" customFormat="1"/>
    <row r="651" s="143" customFormat="1"/>
    <row r="652" s="143" customFormat="1"/>
    <row r="653" s="143" customFormat="1"/>
    <row r="654" s="143" customFormat="1"/>
    <row r="655" s="143" customFormat="1"/>
    <row r="656" s="143" customFormat="1"/>
    <row r="657" s="143" customFormat="1"/>
    <row r="658" s="143" customFormat="1"/>
    <row r="659" s="143" customFormat="1"/>
    <row r="660" s="143" customFormat="1"/>
    <row r="661" s="143" customFormat="1"/>
    <row r="662" s="143" customFormat="1"/>
    <row r="663" s="143" customFormat="1"/>
    <row r="664" s="143" customFormat="1"/>
    <row r="665" s="143" customFormat="1"/>
    <row r="666" s="143" customFormat="1"/>
    <row r="667" s="143" customFormat="1"/>
    <row r="668" s="143" customFormat="1"/>
    <row r="669" s="143" customFormat="1"/>
    <row r="670" s="143" customFormat="1"/>
    <row r="671" s="143" customFormat="1"/>
    <row r="672" s="143" customFormat="1"/>
    <row r="673" s="143" customFormat="1"/>
    <row r="674" s="143" customFormat="1"/>
    <row r="675" s="143" customFormat="1"/>
    <row r="676" s="143" customFormat="1"/>
    <row r="677" s="143" customFormat="1"/>
    <row r="678" s="143" customFormat="1"/>
    <row r="679" s="143" customFormat="1"/>
    <row r="680" s="143" customFormat="1"/>
    <row r="681" s="143" customFormat="1"/>
    <row r="682" s="143" customFormat="1"/>
    <row r="683" s="143" customFormat="1"/>
    <row r="684" s="143" customFormat="1"/>
    <row r="685" s="143" customFormat="1"/>
    <row r="686" s="143" customFormat="1"/>
    <row r="687" s="143" customFormat="1"/>
    <row r="688" s="143" customFormat="1"/>
    <row r="689" s="143" customFormat="1"/>
    <row r="690" s="143" customFormat="1"/>
    <row r="691" s="143" customFormat="1"/>
    <row r="692" s="143" customFormat="1"/>
    <row r="693" s="143" customFormat="1"/>
    <row r="694" s="143" customFormat="1"/>
    <row r="695" s="143" customFormat="1"/>
    <row r="696" s="143" customFormat="1"/>
    <row r="697" s="143" customFormat="1"/>
    <row r="698" s="143" customFormat="1"/>
    <row r="699" s="143" customFormat="1"/>
    <row r="700" s="143" customFormat="1"/>
    <row r="701" s="143" customFormat="1"/>
    <row r="702" s="143" customFormat="1"/>
    <row r="703" s="143" customFormat="1"/>
    <row r="704" s="143" customFormat="1"/>
    <row r="705" s="143" customFormat="1"/>
    <row r="706" s="143" customFormat="1"/>
    <row r="707" s="143" customFormat="1"/>
    <row r="708" s="143" customFormat="1"/>
    <row r="709" s="143" customFormat="1"/>
    <row r="710" s="143" customFormat="1"/>
    <row r="711" s="143" customFormat="1"/>
    <row r="712" s="143" customFormat="1"/>
    <row r="713" s="143" customFormat="1"/>
    <row r="714" s="143" customFormat="1"/>
    <row r="715" s="143" customFormat="1"/>
    <row r="716" s="143" customFormat="1"/>
    <row r="717" s="143" customFormat="1"/>
    <row r="718" s="143" customFormat="1"/>
    <row r="719" s="143" customFormat="1"/>
    <row r="720" s="143" customFormat="1"/>
    <row r="721" s="143" customFormat="1"/>
    <row r="722" s="143" customFormat="1"/>
    <row r="723" s="143" customFormat="1"/>
    <row r="724" s="143" customFormat="1"/>
    <row r="725" s="143" customFormat="1"/>
    <row r="726" s="143" customFormat="1"/>
    <row r="727" s="143" customFormat="1"/>
    <row r="728" s="143" customFormat="1"/>
    <row r="729" s="143" customFormat="1"/>
    <row r="730" s="143" customFormat="1"/>
    <row r="731" s="143" customFormat="1"/>
    <row r="732" s="143" customFormat="1"/>
    <row r="733" s="143" customFormat="1"/>
    <row r="734" s="143" customFormat="1"/>
    <row r="735" s="143" customFormat="1"/>
    <row r="736" s="143" customFormat="1"/>
    <row r="737" s="143" customFormat="1"/>
    <row r="738" s="143" customFormat="1"/>
    <row r="739" s="143" customFormat="1"/>
    <row r="740" s="143" customFormat="1"/>
    <row r="741" s="143" customFormat="1"/>
    <row r="742" s="143" customFormat="1"/>
    <row r="743" s="143" customFormat="1"/>
    <row r="744" s="143" customFormat="1"/>
    <row r="745" s="143" customFormat="1"/>
    <row r="746" s="143" customFormat="1"/>
    <row r="747" s="143" customFormat="1"/>
    <row r="748" s="143" customFormat="1"/>
    <row r="749" s="143" customFormat="1"/>
    <row r="750" s="143" customFormat="1"/>
    <row r="751" s="143" customFormat="1"/>
    <row r="752" s="143" customFormat="1"/>
  </sheetData>
  <customSheetViews>
    <customSheetView guid="{B87BD74C-18F3-4393-BF03-31B25889E08F}" showGridLines="0" hiddenColumns="1">
      <pane xSplit="37" topLeftCell="AW1" activePane="topRight" state="frozen"/>
      <selection pane="topRight" activeCell="BG21" sqref="BG21"/>
      <pageMargins left="0" right="0" top="0" bottom="0" header="0" footer="0"/>
      <pageSetup paperSize="9" scale="46" orientation="portrait" horizontalDpi="4294967294" r:id="rId1"/>
    </customSheetView>
    <customSheetView guid="{0581D693-F741-454A-848A-FCD54BC91A66}" showGridLines="0" hiddenColumns="1" topLeftCell="A10">
      <pane xSplit="37" topLeftCell="AM1" activePane="topRight" state="frozen"/>
      <selection pane="topRight" activeCell="A16" sqref="A16"/>
      <pageMargins left="0" right="0" top="0" bottom="0" header="0" footer="0"/>
      <pageSetup paperSize="9" scale="46" orientation="portrait" horizontalDpi="4294967294" r:id="rId2"/>
    </customSheetView>
    <customSheetView guid="{634BFE77-A2AA-4FA6-8ED5-F02244B9F10C}" showPageBreaks="1" showGridLines="0" hiddenColumns="1">
      <pane xSplit="37" topLeftCell="AW1" activePane="topRight" state="frozen"/>
      <selection pane="topRight" activeCell="BK4" sqref="BK4"/>
      <pageMargins left="0" right="0" top="0" bottom="0" header="0" footer="0"/>
      <pageSetup paperSize="9" scale="46" orientation="portrait"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GridLines="0" hiddenColumns="1">
      <pane xSplit="37" topLeftCell="AN1" activePane="topRight" state="frozen"/>
      <selection pane="topRight" activeCell="BG23" sqref="BG23"/>
      <pageMargins left="0" right="0" top="0" bottom="0" header="0" footer="0"/>
      <pageSetup paperSize="9" scale="46" orientation="portrait" horizontalDpi="4294967294" r:id="rId4"/>
    </customSheetView>
  </customSheetViews>
  <mergeCells count="18">
    <mergeCell ref="AM2:AQ2"/>
    <mergeCell ref="AR2:AV2"/>
    <mergeCell ref="AW2:BA2"/>
    <mergeCell ref="BB2:BF2"/>
    <mergeCell ref="AM3:AQ3"/>
    <mergeCell ref="AR3:AV3"/>
    <mergeCell ref="AW3:BA3"/>
    <mergeCell ref="BB3:BF3"/>
    <mergeCell ref="BL2:BP2"/>
    <mergeCell ref="BL3:BP3"/>
    <mergeCell ref="CA2:CE2"/>
    <mergeCell ref="CA3:CE3"/>
    <mergeCell ref="BG2:BK2"/>
    <mergeCell ref="BG3:BK3"/>
    <mergeCell ref="BV2:BZ2"/>
    <mergeCell ref="BV3:BZ3"/>
    <mergeCell ref="BQ2:BU2"/>
    <mergeCell ref="BQ3:BU3"/>
  </mergeCells>
  <pageMargins left="0.7" right="0.7" top="0.75" bottom="0.75" header="0.3" footer="0.3"/>
  <pageSetup paperSize="9" scale="46" orientation="portrait"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D19"/>
  <sheetViews>
    <sheetView showGridLines="0" zoomScale="80" zoomScaleNormal="80" zoomScaleSheetLayoutView="70" workbookViewId="0">
      <pane xSplit="2" topLeftCell="BD1" activePane="topRight" state="frozen"/>
      <selection pane="topRight" activeCell="BX14" sqref="BX14"/>
    </sheetView>
  </sheetViews>
  <sheetFormatPr defaultColWidth="9" defaultRowHeight="12" outlineLevelCol="1"/>
  <cols>
    <col min="1" max="2" width="35.0703125" style="420" customWidth="1"/>
    <col min="3" max="6" width="8.5703125" style="420" customWidth="1"/>
    <col min="7" max="10" width="8.5703125" style="420" hidden="1" customWidth="1" outlineLevel="1"/>
    <col min="11" max="11" width="8.5703125" style="420" customWidth="1" collapsed="1"/>
    <col min="12" max="15" width="8.5703125" style="420" hidden="1" customWidth="1" outlineLevel="1"/>
    <col min="16" max="16" width="8.5703125" style="420" customWidth="1" collapsed="1"/>
    <col min="17" max="20" width="8.5703125" style="420" hidden="1" customWidth="1" outlineLevel="1"/>
    <col min="21" max="21" width="8.5703125" style="420" customWidth="1" collapsed="1"/>
    <col min="22" max="25" width="8.5703125" style="420" hidden="1" customWidth="1" outlineLevel="1"/>
    <col min="26" max="26" width="8.5703125" style="420" customWidth="1" collapsed="1"/>
    <col min="27" max="30" width="8.5703125" style="420" hidden="1" customWidth="1" outlineLevel="1"/>
    <col min="31" max="31" width="8.5703125" style="420" customWidth="1" collapsed="1"/>
    <col min="32" max="35" width="8.5703125" style="420" hidden="1" customWidth="1" outlineLevel="1"/>
    <col min="36" max="36" width="8.5703125" style="420" customWidth="1" collapsed="1"/>
    <col min="37" max="40" width="8.5703125" style="420" hidden="1" customWidth="1" outlineLevel="1"/>
    <col min="41" max="41" width="8.5703125" style="420" customWidth="1" collapsed="1"/>
    <col min="42" max="45" width="8.5703125" style="420" hidden="1" customWidth="1" outlineLevel="1"/>
    <col min="46" max="46" width="8.5703125" style="420" customWidth="1" collapsed="1"/>
    <col min="47" max="50" width="8.5703125" style="420" hidden="1" customWidth="1" outlineLevel="1"/>
    <col min="51" max="51" width="8.5703125" style="420" customWidth="1" collapsed="1"/>
    <col min="52" max="55" width="8.5703125" style="420" hidden="1" customWidth="1" outlineLevel="1"/>
    <col min="56" max="56" width="8.5703125" style="420" customWidth="1" collapsed="1"/>
    <col min="57" max="60" width="8.5703125" style="420" hidden="1" customWidth="1" outlineLevel="1"/>
    <col min="61" max="61" width="8.5703125" style="420" customWidth="1" collapsed="1"/>
    <col min="62" max="62" width="8.5703125" style="420" hidden="1" customWidth="1" outlineLevel="1"/>
    <col min="63" max="65" width="0" style="420" hidden="1" customWidth="1" outlineLevel="1"/>
    <col min="66" max="66" width="8.5703125" style="420" customWidth="1" collapsed="1"/>
    <col min="67" max="67" width="8.5703125" style="420" hidden="1" customWidth="1" outlineLevel="1"/>
    <col min="68" max="70" width="0" style="420" hidden="1" customWidth="1" outlineLevel="1"/>
    <col min="71" max="71" width="8.5703125" style="420" customWidth="1" collapsed="1"/>
    <col min="72" max="75" width="9" style="420" hidden="1" customWidth="1" outlineLevel="1"/>
    <col min="76" max="76" width="8.5703125" style="420" customWidth="1" collapsed="1"/>
    <col min="77" max="16384" width="9" style="420"/>
  </cols>
  <sheetData>
    <row r="1" spans="1:82" ht="94.5" customHeight="1">
      <c r="A1" s="419"/>
      <c r="B1" s="419"/>
      <c r="AP1" s="450"/>
      <c r="AQ1" s="450"/>
      <c r="AR1" s="450"/>
      <c r="AS1" s="450"/>
      <c r="AT1" s="451"/>
      <c r="AU1" s="450"/>
      <c r="AV1" s="450"/>
      <c r="AW1" s="450"/>
      <c r="AX1" s="450"/>
      <c r="AY1" s="451"/>
      <c r="AZ1" s="450"/>
      <c r="BA1" s="450"/>
      <c r="BB1" s="450"/>
      <c r="BC1" s="450"/>
      <c r="BD1" s="451"/>
      <c r="BE1" s="450"/>
      <c r="BF1" s="450"/>
      <c r="BG1" s="450"/>
      <c r="BH1" s="450"/>
      <c r="BI1" s="451"/>
      <c r="BJ1" s="450"/>
      <c r="BK1" s="450"/>
      <c r="BL1" s="450"/>
      <c r="BM1" s="450"/>
      <c r="BN1" s="451"/>
      <c r="BO1" s="450"/>
      <c r="BP1" s="450"/>
      <c r="BQ1" s="450"/>
      <c r="BR1" s="450"/>
      <c r="BS1" s="451"/>
      <c r="BX1" s="451"/>
    </row>
    <row r="2" spans="1:82" s="425" customFormat="1" ht="41.6">
      <c r="A2" s="426" t="s">
        <v>489</v>
      </c>
      <c r="B2" s="421" t="s">
        <v>490</v>
      </c>
      <c r="C2" s="422">
        <v>2006</v>
      </c>
      <c r="D2" s="422">
        <v>2007</v>
      </c>
      <c r="E2" s="422">
        <v>2008</v>
      </c>
      <c r="F2" s="422">
        <v>2009</v>
      </c>
      <c r="G2" s="423" t="s">
        <v>491</v>
      </c>
      <c r="H2" s="423" t="s">
        <v>492</v>
      </c>
      <c r="I2" s="423" t="s">
        <v>493</v>
      </c>
      <c r="J2" s="423" t="s">
        <v>494</v>
      </c>
      <c r="K2" s="422">
        <v>2010</v>
      </c>
      <c r="L2" s="423" t="s">
        <v>495</v>
      </c>
      <c r="M2" s="423" t="s">
        <v>496</v>
      </c>
      <c r="N2" s="423" t="s">
        <v>497</v>
      </c>
      <c r="O2" s="423" t="s">
        <v>498</v>
      </c>
      <c r="P2" s="422">
        <v>2011</v>
      </c>
      <c r="Q2" s="423" t="s">
        <v>499</v>
      </c>
      <c r="R2" s="423" t="s">
        <v>500</v>
      </c>
      <c r="S2" s="423" t="s">
        <v>501</v>
      </c>
      <c r="T2" s="423" t="s">
        <v>502</v>
      </c>
      <c r="U2" s="422">
        <v>2012</v>
      </c>
      <c r="V2" s="423" t="s">
        <v>503</v>
      </c>
      <c r="W2" s="423" t="s">
        <v>504</v>
      </c>
      <c r="X2" s="423" t="s">
        <v>505</v>
      </c>
      <c r="Y2" s="423" t="s">
        <v>506</v>
      </c>
      <c r="Z2" s="422">
        <v>2013</v>
      </c>
      <c r="AA2" s="423" t="s">
        <v>507</v>
      </c>
      <c r="AB2" s="423" t="s">
        <v>508</v>
      </c>
      <c r="AC2" s="423" t="s">
        <v>509</v>
      </c>
      <c r="AD2" s="423" t="s">
        <v>510</v>
      </c>
      <c r="AE2" s="422">
        <v>2014</v>
      </c>
      <c r="AF2" s="423" t="s">
        <v>511</v>
      </c>
      <c r="AG2" s="423" t="s">
        <v>512</v>
      </c>
      <c r="AH2" s="423" t="s">
        <v>513</v>
      </c>
      <c r="AI2" s="423" t="s">
        <v>514</v>
      </c>
      <c r="AJ2" s="422">
        <v>2015</v>
      </c>
      <c r="AK2" s="423" t="s">
        <v>515</v>
      </c>
      <c r="AL2" s="423" t="s">
        <v>516</v>
      </c>
      <c r="AM2" s="423" t="s">
        <v>517</v>
      </c>
      <c r="AN2" s="423" t="s">
        <v>518</v>
      </c>
      <c r="AO2" s="422">
        <v>2016</v>
      </c>
      <c r="AP2" s="428" t="s">
        <v>519</v>
      </c>
      <c r="AQ2" s="428" t="s">
        <v>520</v>
      </c>
      <c r="AR2" s="428" t="s">
        <v>521</v>
      </c>
      <c r="AS2" s="428" t="s">
        <v>522</v>
      </c>
      <c r="AT2" s="429" t="s">
        <v>523</v>
      </c>
      <c r="AU2" s="428" t="s">
        <v>524</v>
      </c>
      <c r="AV2" s="428" t="s">
        <v>525</v>
      </c>
      <c r="AW2" s="428" t="s">
        <v>526</v>
      </c>
      <c r="AX2" s="428" t="s">
        <v>527</v>
      </c>
      <c r="AY2" s="429" t="s">
        <v>528</v>
      </c>
      <c r="AZ2" s="428" t="s">
        <v>529</v>
      </c>
      <c r="BA2" s="428" t="s">
        <v>530</v>
      </c>
      <c r="BB2" s="428" t="s">
        <v>531</v>
      </c>
      <c r="BC2" s="428" t="s">
        <v>531</v>
      </c>
      <c r="BD2" s="429" t="s">
        <v>532</v>
      </c>
      <c r="BE2" s="428" t="s">
        <v>533</v>
      </c>
      <c r="BF2" s="428" t="s">
        <v>534</v>
      </c>
      <c r="BG2" s="428" t="s">
        <v>535</v>
      </c>
      <c r="BH2" s="428" t="s">
        <v>536</v>
      </c>
      <c r="BI2" s="429" t="s">
        <v>537</v>
      </c>
      <c r="BJ2" s="428" t="s">
        <v>538</v>
      </c>
      <c r="BK2" s="428" t="s">
        <v>539</v>
      </c>
      <c r="BL2" s="428" t="s">
        <v>540</v>
      </c>
      <c r="BM2" s="428" t="s">
        <v>541</v>
      </c>
      <c r="BN2" s="429" t="s">
        <v>542</v>
      </c>
      <c r="BO2" s="428" t="s">
        <v>543</v>
      </c>
      <c r="BP2" s="428" t="s">
        <v>544</v>
      </c>
      <c r="BQ2" s="428" t="s">
        <v>545</v>
      </c>
      <c r="BR2" s="428" t="s">
        <v>546</v>
      </c>
      <c r="BS2" s="429" t="s">
        <v>547</v>
      </c>
      <c r="BT2" s="428" t="s">
        <v>548</v>
      </c>
      <c r="BU2" s="428" t="s">
        <v>549</v>
      </c>
      <c r="BV2" s="428" t="s">
        <v>550</v>
      </c>
      <c r="BW2" s="428" t="s">
        <v>551</v>
      </c>
      <c r="BX2" s="429" t="s">
        <v>552</v>
      </c>
      <c r="BY2" s="428" t="s">
        <v>553</v>
      </c>
      <c r="BZ2" s="428" t="s">
        <v>554</v>
      </c>
      <c r="CA2" s="428" t="s">
        <v>775</v>
      </c>
      <c r="CB2" s="428" t="s">
        <v>777</v>
      </c>
      <c r="CC2" s="429" t="s">
        <v>780</v>
      </c>
      <c r="CD2" s="428" t="s">
        <v>794</v>
      </c>
    </row>
    <row r="3" spans="1:82" s="430" customFormat="1" ht="41.6">
      <c r="A3" s="426" t="s">
        <v>489</v>
      </c>
      <c r="B3" s="421" t="s">
        <v>490</v>
      </c>
      <c r="C3" s="427">
        <v>2006</v>
      </c>
      <c r="D3" s="427">
        <v>2007</v>
      </c>
      <c r="E3" s="427">
        <v>2008</v>
      </c>
      <c r="F3" s="427">
        <v>2009</v>
      </c>
      <c r="G3" s="428" t="s">
        <v>491</v>
      </c>
      <c r="H3" s="428" t="s">
        <v>492</v>
      </c>
      <c r="I3" s="428" t="s">
        <v>493</v>
      </c>
      <c r="J3" s="428" t="s">
        <v>494</v>
      </c>
      <c r="K3" s="427">
        <v>2010</v>
      </c>
      <c r="L3" s="428" t="s">
        <v>495</v>
      </c>
      <c r="M3" s="428" t="s">
        <v>496</v>
      </c>
      <c r="N3" s="428" t="s">
        <v>497</v>
      </c>
      <c r="O3" s="428" t="s">
        <v>498</v>
      </c>
      <c r="P3" s="427">
        <v>2011</v>
      </c>
      <c r="Q3" s="428" t="s">
        <v>499</v>
      </c>
      <c r="R3" s="428" t="s">
        <v>500</v>
      </c>
      <c r="S3" s="428" t="s">
        <v>501</v>
      </c>
      <c r="T3" s="428" t="s">
        <v>502</v>
      </c>
      <c r="U3" s="427">
        <v>2012</v>
      </c>
      <c r="V3" s="428" t="s">
        <v>503</v>
      </c>
      <c r="W3" s="428" t="s">
        <v>504</v>
      </c>
      <c r="X3" s="428" t="s">
        <v>505</v>
      </c>
      <c r="Y3" s="428" t="s">
        <v>506</v>
      </c>
      <c r="Z3" s="427">
        <v>2013</v>
      </c>
      <c r="AA3" s="428" t="s">
        <v>507</v>
      </c>
      <c r="AB3" s="428" t="s">
        <v>508</v>
      </c>
      <c r="AC3" s="428" t="s">
        <v>509</v>
      </c>
      <c r="AD3" s="428" t="s">
        <v>510</v>
      </c>
      <c r="AE3" s="427">
        <v>2014</v>
      </c>
      <c r="AF3" s="428" t="s">
        <v>511</v>
      </c>
      <c r="AG3" s="428" t="s">
        <v>512</v>
      </c>
      <c r="AH3" s="428" t="s">
        <v>513</v>
      </c>
      <c r="AI3" s="428" t="s">
        <v>514</v>
      </c>
      <c r="AJ3" s="427">
        <v>2015</v>
      </c>
      <c r="AK3" s="428" t="s">
        <v>515</v>
      </c>
      <c r="AL3" s="428" t="s">
        <v>516</v>
      </c>
      <c r="AM3" s="428" t="s">
        <v>517</v>
      </c>
      <c r="AN3" s="428" t="s">
        <v>518</v>
      </c>
      <c r="AO3" s="427">
        <v>2016</v>
      </c>
      <c r="AP3" s="423" t="s">
        <v>555</v>
      </c>
      <c r="AQ3" s="423" t="s">
        <v>556</v>
      </c>
      <c r="AR3" s="423" t="s">
        <v>557</v>
      </c>
      <c r="AS3" s="423" t="s">
        <v>558</v>
      </c>
      <c r="AT3" s="424" t="s">
        <v>559</v>
      </c>
      <c r="AU3" s="423" t="s">
        <v>560</v>
      </c>
      <c r="AV3" s="423" t="s">
        <v>561</v>
      </c>
      <c r="AW3" s="423" t="s">
        <v>562</v>
      </c>
      <c r="AX3" s="423" t="s">
        <v>563</v>
      </c>
      <c r="AY3" s="424" t="s">
        <v>564</v>
      </c>
      <c r="AZ3" s="423" t="s">
        <v>565</v>
      </c>
      <c r="BA3" s="423" t="s">
        <v>566</v>
      </c>
      <c r="BB3" s="423" t="s">
        <v>567</v>
      </c>
      <c r="BC3" s="423" t="s">
        <v>568</v>
      </c>
      <c r="BD3" s="424" t="s">
        <v>569</v>
      </c>
      <c r="BE3" s="423" t="s">
        <v>570</v>
      </c>
      <c r="BF3" s="423" t="s">
        <v>571</v>
      </c>
      <c r="BG3" s="423" t="s">
        <v>572</v>
      </c>
      <c r="BH3" s="423" t="s">
        <v>573</v>
      </c>
      <c r="BI3" s="424" t="s">
        <v>574</v>
      </c>
      <c r="BJ3" s="423" t="s">
        <v>575</v>
      </c>
      <c r="BK3" s="423" t="s">
        <v>576</v>
      </c>
      <c r="BL3" s="423" t="s">
        <v>577</v>
      </c>
      <c r="BM3" s="423" t="s">
        <v>578</v>
      </c>
      <c r="BN3" s="424" t="s">
        <v>579</v>
      </c>
      <c r="BO3" s="423" t="s">
        <v>580</v>
      </c>
      <c r="BP3" s="423" t="s">
        <v>581</v>
      </c>
      <c r="BQ3" s="423" t="s">
        <v>582</v>
      </c>
      <c r="BR3" s="423" t="s">
        <v>583</v>
      </c>
      <c r="BS3" s="424" t="s">
        <v>584</v>
      </c>
      <c r="BT3" s="423" t="s">
        <v>585</v>
      </c>
      <c r="BU3" s="423" t="s">
        <v>586</v>
      </c>
      <c r="BV3" s="423" t="s">
        <v>587</v>
      </c>
      <c r="BW3" s="423" t="s">
        <v>588</v>
      </c>
      <c r="BX3" s="424" t="s">
        <v>779</v>
      </c>
      <c r="BY3" s="423" t="s">
        <v>589</v>
      </c>
      <c r="BZ3" s="423" t="s">
        <v>590</v>
      </c>
      <c r="CA3" s="423" t="s">
        <v>776</v>
      </c>
      <c r="CB3" s="423" t="s">
        <v>778</v>
      </c>
      <c r="CC3" s="424" t="s">
        <v>781</v>
      </c>
      <c r="CD3" s="423" t="s">
        <v>795</v>
      </c>
    </row>
    <row r="4" spans="1:82" s="434" customFormat="1" ht="24" customHeight="1">
      <c r="A4" s="431" t="s">
        <v>591</v>
      </c>
      <c r="B4" s="431" t="s">
        <v>592</v>
      </c>
      <c r="C4" s="432">
        <v>0.155</v>
      </c>
      <c r="D4" s="432">
        <v>0.21099999999999999</v>
      </c>
      <c r="E4" s="432">
        <v>0.317</v>
      </c>
      <c r="F4" s="432">
        <v>0.251</v>
      </c>
      <c r="G4" s="433">
        <v>0.32900000000000001</v>
      </c>
      <c r="H4" s="433">
        <v>0.29499999999999998</v>
      </c>
      <c r="I4" s="433">
        <v>0.28499999999999998</v>
      </c>
      <c r="J4" s="433">
        <v>0.191</v>
      </c>
      <c r="K4" s="432">
        <v>0.27500000000000002</v>
      </c>
      <c r="L4" s="433">
        <v>0.30870278738464518</v>
      </c>
      <c r="M4" s="433">
        <v>0.34613505621374752</v>
      </c>
      <c r="N4" s="433">
        <v>0.31878501150261895</v>
      </c>
      <c r="O4" s="433">
        <v>0.27406013939927337</v>
      </c>
      <c r="P4" s="432">
        <v>0.31073681541046316</v>
      </c>
      <c r="Q4" s="433">
        <v>0.38466527099742531</v>
      </c>
      <c r="R4" s="433">
        <v>0.3779041668709594</v>
      </c>
      <c r="S4" s="433">
        <v>0.4001250502295432</v>
      </c>
      <c r="T4" s="433">
        <v>0.32927622113037824</v>
      </c>
      <c r="U4" s="432">
        <v>0.37154971807437509</v>
      </c>
      <c r="V4" s="433">
        <v>0.3519157165072388</v>
      </c>
      <c r="W4" s="433">
        <v>0.34957890245592677</v>
      </c>
      <c r="X4" s="433">
        <v>0.3961214215056621</v>
      </c>
      <c r="Y4" s="433">
        <v>0.34405245121739447</v>
      </c>
      <c r="Z4" s="432">
        <v>0.35944885852796471</v>
      </c>
      <c r="AA4" s="433">
        <v>0.38927182921261261</v>
      </c>
      <c r="AB4" s="433">
        <v>0.40603700097370976</v>
      </c>
      <c r="AC4" s="433">
        <v>0.37613655149611497</v>
      </c>
      <c r="AD4" s="433">
        <v>0.33211693308476481</v>
      </c>
      <c r="AE4" s="432">
        <v>0.36954614772129168</v>
      </c>
      <c r="AF4" s="433">
        <v>0.38497209102619145</v>
      </c>
      <c r="AG4" s="433">
        <v>0.39567471245747615</v>
      </c>
      <c r="AH4" s="433">
        <v>0.3852747525777464</v>
      </c>
      <c r="AI4" s="433">
        <v>0.33759914172956829</v>
      </c>
      <c r="AJ4" s="432">
        <v>0.37515015779293487</v>
      </c>
      <c r="AK4" s="433">
        <v>0.35807952622673433</v>
      </c>
      <c r="AL4" s="433">
        <v>0.3827418232428671</v>
      </c>
      <c r="AM4" s="433">
        <v>0.4007873356227491</v>
      </c>
      <c r="AN4" s="433">
        <v>0.35592284328034396</v>
      </c>
      <c r="AO4" s="432">
        <v>0.37419063084544396</v>
      </c>
      <c r="AP4" s="433">
        <v>0.38914008205643491</v>
      </c>
      <c r="AQ4" s="433">
        <v>0.39017773998947319</v>
      </c>
      <c r="AR4" s="433">
        <v>0.35597473754653058</v>
      </c>
      <c r="AS4" s="433">
        <v>0.33836073200992561</v>
      </c>
      <c r="AT4" s="432">
        <v>0.36800765114054906</v>
      </c>
      <c r="AU4" s="433">
        <v>0.37938531054179631</v>
      </c>
      <c r="AV4" s="433">
        <v>0.36355255070682235</v>
      </c>
      <c r="AW4" s="433">
        <v>0.33638025594149901</v>
      </c>
      <c r="AX4" s="433">
        <v>0.31355762824783479</v>
      </c>
      <c r="AY4" s="432">
        <v>0.3460289535003418</v>
      </c>
      <c r="AZ4" s="433">
        <v>0.37193724029230529</v>
      </c>
      <c r="BA4" s="433">
        <v>0.36814916182004787</v>
      </c>
      <c r="BB4" s="433">
        <v>0.35282118655787575</v>
      </c>
      <c r="BC4" s="433">
        <v>0.34596461503372328</v>
      </c>
      <c r="BD4" s="432">
        <v>0.35942652084171944</v>
      </c>
      <c r="BE4" s="433">
        <v>0.36043139424960502</v>
      </c>
      <c r="BF4" s="433">
        <v>0.33534774862891703</v>
      </c>
      <c r="BG4" s="433">
        <v>0.35921425004161806</v>
      </c>
      <c r="BH4" s="433">
        <v>0.34673652177205838</v>
      </c>
      <c r="BI4" s="432">
        <v>0.35040486809552868</v>
      </c>
      <c r="BJ4" s="433">
        <f>'P&amp;L'!BG39</f>
        <v>0.36242217312713398</v>
      </c>
      <c r="BK4" s="433">
        <f>'P&amp;L'!BH39</f>
        <v>0.3610785834098173</v>
      </c>
      <c r="BL4" s="433">
        <f>'P&amp;L'!BI39</f>
        <v>1.5155513044625486</v>
      </c>
      <c r="BM4" s="433">
        <f>'P&amp;L'!BJ39</f>
        <v>0.2698315467075037</v>
      </c>
      <c r="BN4" s="432">
        <f>'P&amp;L'!BK39</f>
        <v>0.61873995499839274</v>
      </c>
      <c r="BO4" s="433">
        <f>'P&amp;L'!BL39</f>
        <v>0.25667124250845413</v>
      </c>
      <c r="BP4" s="433">
        <f>'P&amp;L'!BM39</f>
        <v>0.27672624763792941</v>
      </c>
      <c r="BQ4" s="433">
        <f>'P&amp;L'!BN39</f>
        <v>0.29135711883579463</v>
      </c>
      <c r="BR4" s="433">
        <f>'P&amp;L'!BO39</f>
        <v>0.2502624212736177</v>
      </c>
      <c r="BS4" s="432">
        <f>'P&amp;L'!BP39</f>
        <v>0.2687665017459912</v>
      </c>
      <c r="BT4" s="433">
        <f>'P&amp;L'!BQ39</f>
        <v>0.23792704654143107</v>
      </c>
      <c r="BU4" s="433">
        <f>'P&amp;L'!BR39</f>
        <v>0.24271992218371943</v>
      </c>
      <c r="BV4" s="433">
        <f>'P&amp;L'!BS39</f>
        <v>0.28787221112943845</v>
      </c>
      <c r="BW4" s="433">
        <f>'P&amp;L'!BT39</f>
        <v>0.18381094662501704</v>
      </c>
      <c r="BX4" s="432">
        <f>'P&amp;L'!BU39</f>
        <v>0.2371296683619179</v>
      </c>
      <c r="BY4" s="433">
        <f>'P&amp;L'!BV39</f>
        <v>0.27791454054059839</v>
      </c>
      <c r="BZ4" s="433">
        <f>'P&amp;L'!BW39</f>
        <v>0.25041252931129326</v>
      </c>
      <c r="CA4" s="433">
        <f>'P&amp;L'!BX39</f>
        <v>0.24763235088699534</v>
      </c>
      <c r="CB4" s="433">
        <f>'P&amp;L'!BY39</f>
        <v>0.19333176556661699</v>
      </c>
      <c r="CC4" s="432">
        <f>'P&amp;L'!BZ39</f>
        <v>0.24096614723999829</v>
      </c>
      <c r="CD4" s="433">
        <f>'P&amp;L'!CA39</f>
        <v>0.22919381338167816</v>
      </c>
    </row>
    <row r="5" spans="1:82" s="434" customFormat="1" ht="24" customHeight="1">
      <c r="A5" s="431" t="s">
        <v>593</v>
      </c>
      <c r="B5" s="431" t="s">
        <v>594</v>
      </c>
      <c r="C5" s="432">
        <v>0.11600000000000001</v>
      </c>
      <c r="D5" s="432">
        <v>0.14399999999999999</v>
      </c>
      <c r="E5" s="432">
        <v>0.246</v>
      </c>
      <c r="F5" s="432">
        <v>0.182</v>
      </c>
      <c r="G5" s="433">
        <v>0.23</v>
      </c>
      <c r="H5" s="433">
        <v>0.182</v>
      </c>
      <c r="I5" s="433">
        <v>0.188</v>
      </c>
      <c r="J5" s="433">
        <v>9.8000000000000004E-2</v>
      </c>
      <c r="K5" s="432">
        <v>0.17399999999999999</v>
      </c>
      <c r="L5" s="433">
        <v>0.18967721753120198</v>
      </c>
      <c r="M5" s="433">
        <v>0.1105688210628496</v>
      </c>
      <c r="N5" s="433" t="s">
        <v>595</v>
      </c>
      <c r="O5" s="433">
        <v>0.10608165132384817</v>
      </c>
      <c r="P5" s="432">
        <v>6.7707133573549461E-2</v>
      </c>
      <c r="Q5" s="433">
        <v>0.30649285055729641</v>
      </c>
      <c r="R5" s="433">
        <v>0.13939020375571728</v>
      </c>
      <c r="S5" s="433">
        <v>0.266952761732768</v>
      </c>
      <c r="T5" s="433">
        <v>0.1620322508446396</v>
      </c>
      <c r="U5" s="432">
        <v>0.21535338337745638</v>
      </c>
      <c r="V5" s="433">
        <v>0.13643419081993929</v>
      </c>
      <c r="W5" s="433">
        <v>0.10971771925199814</v>
      </c>
      <c r="X5" s="433">
        <v>0.26051734065642024</v>
      </c>
      <c r="Y5" s="433">
        <v>0.21631129917457795</v>
      </c>
      <c r="Z5" s="432">
        <v>0.18051820848101818</v>
      </c>
      <c r="AA5" s="433">
        <v>0.13582744164810381</v>
      </c>
      <c r="AB5" s="433">
        <v>7.5662981843175381E-2</v>
      </c>
      <c r="AC5" s="433">
        <v>1.9920648040998381E-2</v>
      </c>
      <c r="AD5" s="433">
        <v>5.5531315695532789E-3</v>
      </c>
      <c r="AE5" s="432">
        <v>3.94742169260043E-2</v>
      </c>
      <c r="AF5" s="433">
        <v>7.3336195792185463E-2</v>
      </c>
      <c r="AG5" s="433">
        <v>0.12331929369836385</v>
      </c>
      <c r="AH5" s="433">
        <v>0.20808315044101192</v>
      </c>
      <c r="AI5" s="433">
        <v>7.111383577914876E-2</v>
      </c>
      <c r="AJ5" s="432">
        <v>0.11843632291560617</v>
      </c>
      <c r="AK5" s="433">
        <v>7.5507614213197988E-2</v>
      </c>
      <c r="AL5" s="433">
        <v>9.4518809611527338E-2</v>
      </c>
      <c r="AM5" s="433">
        <v>0.11299103777535824</v>
      </c>
      <c r="AN5" s="433">
        <v>0.134827028519585</v>
      </c>
      <c r="AO5" s="432">
        <v>0.10493535324467103</v>
      </c>
      <c r="AP5" s="433">
        <v>0.11362304278656968</v>
      </c>
      <c r="AQ5" s="433">
        <v>0.11405320053443456</v>
      </c>
      <c r="AR5" s="433">
        <v>9.8247521853695272E-2</v>
      </c>
      <c r="AS5" s="433">
        <v>6.0949131513647663E-2</v>
      </c>
      <c r="AT5" s="432">
        <v>9.6168325092078288E-2</v>
      </c>
      <c r="AU5" s="433">
        <v>0.12455773903405941</v>
      </c>
      <c r="AV5" s="433">
        <v>8.8890596189305407E-2</v>
      </c>
      <c r="AW5" s="433">
        <v>8.3034734917733014E-2</v>
      </c>
      <c r="AX5" s="433">
        <v>2.1785476349100594E-2</v>
      </c>
      <c r="AY5" s="432">
        <v>7.6370237972693752E-2</v>
      </c>
      <c r="AZ5" s="433">
        <v>0.1064980656254476</v>
      </c>
      <c r="BA5" s="433">
        <v>9.1994526171741281E-2</v>
      </c>
      <c r="BB5" s="433">
        <v>8.1766007467846707E-2</v>
      </c>
      <c r="BC5" s="433">
        <v>0.10162588380958593</v>
      </c>
      <c r="BD5" s="432">
        <v>9.5459956663612081E-2</v>
      </c>
      <c r="BE5" s="433">
        <v>6.4521266111988732E-2</v>
      </c>
      <c r="BF5" s="433">
        <v>0.10154749013169415</v>
      </c>
      <c r="BG5" s="433">
        <v>0.11486598967870809</v>
      </c>
      <c r="BH5" s="433">
        <v>0.10056941383535499</v>
      </c>
      <c r="BI5" s="432">
        <v>9.5809410472377121E-2</v>
      </c>
      <c r="BJ5" s="433">
        <f>'P&amp;L'!BG34/'P&amp;L'!BG5</f>
        <v>0.13068219856731605</v>
      </c>
      <c r="BK5" s="433">
        <f>'P&amp;L'!BH34/'P&amp;L'!BH5</f>
        <v>0.17144032661328604</v>
      </c>
      <c r="BL5" s="433">
        <f>'P&amp;L'!BI34/'P&amp;L'!BI5</f>
        <v>1.0385236980111483</v>
      </c>
      <c r="BM5" s="433">
        <f>'P&amp;L'!BJ34/'P&amp;L'!BJ5</f>
        <v>0.10220520673813159</v>
      </c>
      <c r="BN5" s="432">
        <f>'P&amp;L'!BK34/'P&amp;L'!BK5</f>
        <v>0.35474927675988421</v>
      </c>
      <c r="BO5" s="433">
        <f>'P&amp;L'!BL34/'P&amp;L'!BL5</f>
        <v>7.1249204807982039E-2</v>
      </c>
      <c r="BP5" s="433">
        <f>'P&amp;L'!BM34/'P&amp;L'!BM5</f>
        <v>8.7574734363867243E-2</v>
      </c>
      <c r="BQ5" s="433">
        <f>'P&amp;L'!BN34/'P&amp;L'!BN5</f>
        <v>7.065333700204858E-2</v>
      </c>
      <c r="BR5" s="433">
        <f>'P&amp;L'!BO34/'P&amp;L'!BO5</f>
        <v>5.0880569162584259E-2</v>
      </c>
      <c r="BS5" s="432">
        <f>'P&amp;L'!BP34/'P&amp;L'!BP5</f>
        <v>6.9769962757349827E-2</v>
      </c>
      <c r="BT5" s="433">
        <f>'P&amp;L'!BQ34/'P&amp;L'!BQ5</f>
        <v>2.2192354577564022E-2</v>
      </c>
      <c r="BU5" s="433">
        <f>'P&amp;L'!BR34/'P&amp;L'!BR5</f>
        <v>2.4621557541492471E-3</v>
      </c>
      <c r="BV5" s="433">
        <f>'P&amp;L'!BS34/'P&amp;L'!BS5</f>
        <v>2.9574326475099232E-2</v>
      </c>
      <c r="BW5" s="433">
        <f>'P&amp;L'!BT34/'P&amp;L'!BT5</f>
        <v>3.5393182126850532E-2</v>
      </c>
      <c r="BX5" s="432">
        <f>'P&amp;L'!BU34/'P&amp;L'!BU5</f>
        <v>2.2867542913336852E-2</v>
      </c>
      <c r="BY5" s="433">
        <f>'P&amp;L'!BV34/'P&amp;L'!BV5</f>
        <v>5.4125904225446393E-2</v>
      </c>
      <c r="BZ5" s="433">
        <f>'P&amp;L'!BW34/'P&amp;L'!BW5</f>
        <v>5.0806241496106408E-2</v>
      </c>
      <c r="CA5" s="433">
        <f>'P&amp;L'!BX34/'P&amp;L'!BX5</f>
        <v>6.9786283000418975E-2</v>
      </c>
      <c r="CB5" s="433">
        <f>'P&amp;L'!BY34/'P&amp;L'!BY5</f>
        <v>4.381907972093748E-2</v>
      </c>
      <c r="CC5" s="432">
        <f>'P&amp;L'!BZ34/'P&amp;L'!BZ5</f>
        <v>5.4486482057335035E-2</v>
      </c>
      <c r="CD5" s="433">
        <f>'P&amp;L'!CA34/'P&amp;L'!CA5</f>
        <v>2.4559515041640764E-2</v>
      </c>
    </row>
    <row r="6" spans="1:82" s="4" customFormat="1" ht="24" customHeight="1">
      <c r="A6" s="4" t="s">
        <v>596</v>
      </c>
      <c r="B6" s="4" t="s">
        <v>597</v>
      </c>
      <c r="C6" s="432">
        <v>0.158</v>
      </c>
      <c r="D6" s="432">
        <v>0.191</v>
      </c>
      <c r="E6" s="432">
        <v>0.35599999999999998</v>
      </c>
      <c r="F6" s="432">
        <v>0.29699999999999999</v>
      </c>
      <c r="G6" s="433">
        <v>0.10100000000000001</v>
      </c>
      <c r="H6" s="433">
        <v>7.0999999999999994E-2</v>
      </c>
      <c r="I6" s="433">
        <v>6.9000000000000006E-2</v>
      </c>
      <c r="J6" s="433">
        <v>3.5999999999999997E-2</v>
      </c>
      <c r="K6" s="432">
        <v>0.255</v>
      </c>
      <c r="L6" s="433">
        <v>6.2271468324674333E-2</v>
      </c>
      <c r="M6" s="433">
        <v>1.3239521157757844E-2</v>
      </c>
      <c r="N6" s="433" t="s">
        <v>595</v>
      </c>
      <c r="O6" s="433">
        <v>1.4264993041101997E-2</v>
      </c>
      <c r="P6" s="432">
        <v>2.9950184610851395E-2</v>
      </c>
      <c r="Q6" s="433">
        <v>3.7273881405565285E-2</v>
      </c>
      <c r="R6" s="433">
        <v>1.7775372865166162E-2</v>
      </c>
      <c r="S6" s="433">
        <v>3.1199624869035991E-2</v>
      </c>
      <c r="T6" s="433">
        <v>2.1869529763033944E-2</v>
      </c>
      <c r="U6" s="432">
        <v>0.10758152928832863</v>
      </c>
      <c r="V6" s="433">
        <v>1.6894118349245417E-2</v>
      </c>
      <c r="W6" s="433">
        <v>1.4437552333780404E-2</v>
      </c>
      <c r="X6" s="433">
        <v>3.1520471398527435E-2</v>
      </c>
      <c r="Y6" s="433">
        <v>3.0503344649529706E-2</v>
      </c>
      <c r="Z6" s="432">
        <v>9.2569363820704936E-2</v>
      </c>
      <c r="AA6" s="433">
        <v>1.6778114005449145E-2</v>
      </c>
      <c r="AB6" s="433">
        <v>4.7471709233085704E-3</v>
      </c>
      <c r="AC6" s="433">
        <v>1.7539263205391209E-3</v>
      </c>
      <c r="AD6" s="433">
        <v>5.1209457655268075E-4</v>
      </c>
      <c r="AE6" s="432">
        <v>1.0699118831546462E-2</v>
      </c>
      <c r="AF6" s="433">
        <v>6.3051655844275677E-3</v>
      </c>
      <c r="AG6" s="433">
        <v>1.1218857997627276E-2</v>
      </c>
      <c r="AH6" s="433">
        <v>1.9220838831831989E-2</v>
      </c>
      <c r="AI6" s="433">
        <v>7.0063910668514045E-3</v>
      </c>
      <c r="AJ6" s="432">
        <v>4.3918294004175129E-2</v>
      </c>
      <c r="AK6" s="433">
        <v>6.2950750295357192E-3</v>
      </c>
      <c r="AL6" s="433">
        <v>8.3716748062985218E-3</v>
      </c>
      <c r="AM6" s="433">
        <v>9.8133713549945403E-3</v>
      </c>
      <c r="AN6" s="433">
        <v>1.232631187949209E-2</v>
      </c>
      <c r="AO6" s="432">
        <v>3.6820258715510319E-2</v>
      </c>
      <c r="AP6" s="433">
        <v>9.8500355675565938E-3</v>
      </c>
      <c r="AQ6" s="433">
        <v>1.0312071016747503E-2</v>
      </c>
      <c r="AR6" s="433">
        <v>8.7347448740545761E-3</v>
      </c>
      <c r="AS6" s="433">
        <v>5.6636402939904901E-3</v>
      </c>
      <c r="AT6" s="432">
        <v>3.4053898256232916E-2</v>
      </c>
      <c r="AU6" s="433">
        <v>1.0475220832855341E-2</v>
      </c>
      <c r="AV6" s="433">
        <v>7.7777329622608473E-3</v>
      </c>
      <c r="AW6" s="433">
        <v>7.4715498777771496E-3</v>
      </c>
      <c r="AX6" s="433">
        <v>2.1305152328581472E-3</v>
      </c>
      <c r="AY6" s="432">
        <v>2.658583305100215E-2</v>
      </c>
      <c r="AZ6" s="433">
        <v>9.4489540360668291E-3</v>
      </c>
      <c r="BA6" s="433">
        <v>8.5748360927574603E-3</v>
      </c>
      <c r="BB6" s="433">
        <v>7.5612976657490755E-3</v>
      </c>
      <c r="BC6" s="433">
        <v>9.5705378402926155E-3</v>
      </c>
      <c r="BD6" s="432">
        <v>3.4201094827797859E-2</v>
      </c>
      <c r="BE6" s="433">
        <v>5.6275610027343359E-3</v>
      </c>
      <c r="BF6" s="433">
        <v>8.9109457189450597E-3</v>
      </c>
      <c r="BG6" s="433">
        <v>1.0513773042685913E-2</v>
      </c>
      <c r="BH6" s="433">
        <v>9.8647008914389284E-3</v>
      </c>
      <c r="BI6" s="432">
        <v>3.4611456939151457E-2</v>
      </c>
      <c r="BJ6" s="433">
        <f>'P&amp;L'!BG34/'Balance sheet'!AM41</f>
        <v>1.1846637029844181E-2</v>
      </c>
      <c r="BK6" s="433">
        <f>'P&amp;L'!BH34/'Balance sheet'!AN41</f>
        <v>1.6453892954015972E-2</v>
      </c>
      <c r="BL6" s="433">
        <f>'P&amp;L'!BI34/'Balance sheet'!AO41</f>
        <v>8.7543164087479253E-2</v>
      </c>
      <c r="BM6" s="433">
        <f>'P&amp;L'!BJ34/'Balance sheet'!AP41</f>
        <v>1.0351459503055485E-2</v>
      </c>
      <c r="BN6" s="432">
        <f>'P&amp;L'!BK34/'Balance sheet'!AP41</f>
        <v>0.13693892111548836</v>
      </c>
      <c r="BO6" s="433">
        <f>'P&amp;L'!BL34/'Balance sheet'!AQ41</f>
        <v>6.671850309764478E-3</v>
      </c>
      <c r="BP6" s="433">
        <f>'P&amp;L'!BM34/'Balance sheet'!AR41</f>
        <v>8.8860250204312492E-3</v>
      </c>
      <c r="BQ6" s="433">
        <f>'P&amp;L'!BN34/'Balance sheet'!AS41</f>
        <v>7.2933958631833671E-3</v>
      </c>
      <c r="BR6" s="433">
        <f>'P&amp;L'!BO34/'Balance sheet'!AT41</f>
        <v>5.4013730940426705E-3</v>
      </c>
      <c r="BS6" s="432">
        <f>'P&amp;L'!BP34/'Balance sheet'!AT41</f>
        <v>2.7892133495942009E-2</v>
      </c>
      <c r="BT6" s="433">
        <f>'P&amp;L'!BQ34/'Balance sheet'!AU41</f>
        <v>2.1639348259404152E-3</v>
      </c>
      <c r="BU6" s="433">
        <f>'P&amp;L'!BR34/'Balance sheet'!AV41</f>
        <v>2.3343881309332922E-4</v>
      </c>
      <c r="BV6" s="433">
        <f>'P&amp;L'!BS34/'Balance sheet'!AW41</f>
        <v>2.7792659148326432E-3</v>
      </c>
      <c r="BW6" s="433">
        <f>'P&amp;L'!BT34/'Balance sheet'!AX41</f>
        <v>3.5048834350547581E-3</v>
      </c>
      <c r="BX6" s="432">
        <f>'P&amp;L'!BU34/'Balance sheet'!AX41</f>
        <v>8.3815938477595376E-3</v>
      </c>
      <c r="BY6" s="433">
        <f>'P&amp;L'!BV34/'Balance sheet'!AY41</f>
        <v>5.0409220256834829E-3</v>
      </c>
      <c r="BZ6" s="433">
        <f>'P&amp;L'!BW34/'Balance sheet'!AZ41</f>
        <v>4.7719912663043134E-3</v>
      </c>
      <c r="CA6" s="433">
        <f>'P&amp;L'!BX34/'Balance sheet'!BA41</f>
        <v>6.7189731644534496E-3</v>
      </c>
      <c r="CB6" s="433">
        <f>'P&amp;L'!BY34/'Balance sheet'!BB41</f>
        <v>4.4758193658588612E-3</v>
      </c>
      <c r="CC6" s="432">
        <f>'P&amp;L'!BZ34/'Balance sheet'!BB41</f>
        <v>2.0745666427885112E-2</v>
      </c>
      <c r="CD6" s="433">
        <f>'P&amp;L'!CA34/'Balance sheet'!BC41</f>
        <v>2.3739896168758685E-3</v>
      </c>
    </row>
    <row r="7" spans="1:82" s="4" customFormat="1" ht="24" customHeight="1">
      <c r="A7" s="4" t="s">
        <v>598</v>
      </c>
      <c r="B7" s="4" t="s">
        <v>599</v>
      </c>
      <c r="C7" s="432" t="s">
        <v>595</v>
      </c>
      <c r="D7" s="432" t="s">
        <v>595</v>
      </c>
      <c r="E7" s="432">
        <v>11.443</v>
      </c>
      <c r="F7" s="432">
        <v>2.5009999999999999</v>
      </c>
      <c r="G7" s="433">
        <v>0.26700000000000002</v>
      </c>
      <c r="H7" s="433">
        <v>0.26200000000000001</v>
      </c>
      <c r="I7" s="433">
        <v>0.21199999999999999</v>
      </c>
      <c r="J7" s="433">
        <v>9.5000000000000001E-2</v>
      </c>
      <c r="K7" s="432">
        <v>1.5249999999999999</v>
      </c>
      <c r="L7" s="433">
        <v>0.17852586122288744</v>
      </c>
      <c r="M7" s="433">
        <v>3.8577428856174406E-2</v>
      </c>
      <c r="N7" s="433" t="s">
        <v>595</v>
      </c>
      <c r="O7" s="433">
        <v>4.1927279961049509E-2</v>
      </c>
      <c r="P7" s="432">
        <v>9.1999999999999998E-2</v>
      </c>
      <c r="Q7" s="433">
        <v>0.10877317095676947</v>
      </c>
      <c r="R7" s="433">
        <v>4.7546166174335783E-2</v>
      </c>
      <c r="S7" s="433">
        <v>7.8824364260900753E-2</v>
      </c>
      <c r="T7" s="433">
        <v>5.1825928219061103E-2</v>
      </c>
      <c r="U7" s="432">
        <v>0.31992749070239374</v>
      </c>
      <c r="V7" s="433">
        <v>3.854988705193179E-2</v>
      </c>
      <c r="W7" s="433">
        <v>3.1460520932769673E-2</v>
      </c>
      <c r="X7" s="433">
        <v>6.6607225701146078E-2</v>
      </c>
      <c r="Y7" s="433">
        <v>6.122340013627673E-2</v>
      </c>
      <c r="Z7" s="432">
        <v>0.21223515288993153</v>
      </c>
      <c r="AA7" s="433">
        <v>3.2613364596168266E-2</v>
      </c>
      <c r="AB7" s="433">
        <v>1.4743961784008204E-2</v>
      </c>
      <c r="AC7" s="433">
        <v>5.3069088907238835E-3</v>
      </c>
      <c r="AD7" s="433">
        <v>1.5445378522098774E-3</v>
      </c>
      <c r="AE7" s="432">
        <v>3.3292737061360989E-2</v>
      </c>
      <c r="AF7" s="433">
        <v>1.8684840992878312E-2</v>
      </c>
      <c r="AG7" s="433">
        <v>3.2907179060443298E-2</v>
      </c>
      <c r="AH7" s="433">
        <v>5.2576510593774481E-2</v>
      </c>
      <c r="AI7" s="433">
        <v>1.8441055193998745E-2</v>
      </c>
      <c r="AJ7" s="432">
        <v>0.12803327940836601</v>
      </c>
      <c r="AK7" s="433">
        <v>1.7454310774736723E-2</v>
      </c>
      <c r="AL7" s="433">
        <v>2.1926367667866348E-2</v>
      </c>
      <c r="AM7" s="433">
        <v>2.5065730185716849E-2</v>
      </c>
      <c r="AN7" s="433">
        <v>3.0971927726127686E-2</v>
      </c>
      <c r="AO7" s="432">
        <v>9.8584477531236128E-2</v>
      </c>
      <c r="AP7" s="433">
        <v>2.3855356028443631E-2</v>
      </c>
      <c r="AQ7" s="433">
        <v>2.4616809689427963E-2</v>
      </c>
      <c r="AR7" s="433">
        <v>2.003411513859275E-2</v>
      </c>
      <c r="AS7" s="433">
        <v>1.3144252316130978E-2</v>
      </c>
      <c r="AT7" s="432">
        <v>8.4607397328941306E-2</v>
      </c>
      <c r="AU7" s="433">
        <v>2.3166941519725995E-2</v>
      </c>
      <c r="AV7" s="433">
        <v>1.7500340326410829E-2</v>
      </c>
      <c r="AW7" s="433">
        <v>1.6879487446299284E-2</v>
      </c>
      <c r="AX7" s="433">
        <v>4.7357673536184428E-3</v>
      </c>
      <c r="AY7" s="432">
        <v>6.2492821097931937E-2</v>
      </c>
      <c r="AZ7" s="433">
        <v>2.1426563749972937E-2</v>
      </c>
      <c r="BA7" s="433">
        <v>1.9700210995193979E-2</v>
      </c>
      <c r="BB7" s="433">
        <v>1.6991651459198471E-2</v>
      </c>
      <c r="BC7" s="433">
        <v>2.2038353376764706E-2</v>
      </c>
      <c r="BD7" s="432">
        <v>8.3491262106832345E-2</v>
      </c>
      <c r="BE7" s="433">
        <v>1.2713485180485014E-2</v>
      </c>
      <c r="BF7" s="433">
        <v>1.9846661159394624E-2</v>
      </c>
      <c r="BG7" s="433">
        <v>2.412874257778895E-2</v>
      </c>
      <c r="BH7" s="433">
        <v>2.3157985929700729E-2</v>
      </c>
      <c r="BI7" s="432">
        <v>8.626396577458123E-2</v>
      </c>
      <c r="BJ7" s="433">
        <f>'P&amp;L'!BG34/('Balance sheet'!AM55-'P&amp;L'!BG34)</f>
        <v>2.6068550137220467E-2</v>
      </c>
      <c r="BK7" s="433">
        <f>'P&amp;L'!BH34/('Balance sheet'!AN55-'P&amp;L'!BH34)</f>
        <v>3.7564057223297066E-2</v>
      </c>
      <c r="BL7" s="433">
        <f>'P&amp;L'!BI34/('Balance sheet'!AO55-'P&amp;L'!BI34)</f>
        <v>0.21933753613597581</v>
      </c>
      <c r="BM7" s="433">
        <f>'P&amp;L'!BJ34/('Balance sheet'!AP55-'P&amp;L'!BJ34)</f>
        <v>2.2171431608740983E-2</v>
      </c>
      <c r="BN7" s="432">
        <f>'P&amp;L'!BK34/('Balance sheet'!AP55-'P&amp;L'!BK34)</f>
        <v>0.40241201082943617</v>
      </c>
      <c r="BO7" s="433">
        <f>'P&amp;L'!BL34/('Balance sheet'!AQ55-'P&amp;L'!BL34)</f>
        <v>1.3823477825920315E-2</v>
      </c>
      <c r="BP7" s="433">
        <f>'P&amp;L'!BM34/('Balance sheet'!AR55-'P&amp;L'!BM34)</f>
        <v>1.8669801414599018E-2</v>
      </c>
      <c r="BQ7" s="433">
        <f>'P&amp;L'!BN34/('Balance sheet'!AS55-'P&amp;L'!BN34)</f>
        <v>1.4983726026686772E-2</v>
      </c>
      <c r="BR7" s="433">
        <f>'P&amp;L'!BO34/('Balance sheet'!AT55-'P&amp;L'!BO34)</f>
        <v>1.1159929139246429E-2</v>
      </c>
      <c r="BS7" s="432">
        <f>'P&amp;L'!BP34/('Balance sheet'!AT55-'P&amp;L'!BP34)</f>
        <v>6.0437165067036912E-2</v>
      </c>
      <c r="BT7" s="433">
        <f>'P&amp;L'!BQ34/('Balance sheet'!AU55-'P&amp;L'!BQ34)</f>
        <v>4.4940406489141875E-3</v>
      </c>
      <c r="BU7" s="433">
        <f>'P&amp;L'!BR34/('Balance sheet'!AV55-'P&amp;L'!BR34)</f>
        <v>5.1119581955419901E-4</v>
      </c>
      <c r="BV7" s="433">
        <f>'P&amp;L'!BS34/('Balance sheet'!AW55-'P&amp;L'!BS34)</f>
        <v>6.5256396340023131E-3</v>
      </c>
      <c r="BW7" s="433">
        <f>'P&amp;L'!BT34/('Balance sheet'!AX55-'P&amp;L'!BT34)</f>
        <v>8.0556912252935237E-3</v>
      </c>
      <c r="BX7" s="432">
        <f>'P&amp;L'!BU34/('Balance sheet'!AX55-'P&amp;L'!BU34)</f>
        <v>1.9482793117247026E-2</v>
      </c>
      <c r="BY7" s="433">
        <f>'P&amp;L'!BV34/('Balance sheet'!AY55-'P&amp;L'!BV34)</f>
        <v>1.1304305496395673E-2</v>
      </c>
      <c r="BZ7" s="433">
        <f>'P&amp;L'!BW34/('Balance sheet'!AZ55-'P&amp;L'!BW34)</f>
        <v>1.064397569170682E-2</v>
      </c>
      <c r="CA7" s="433">
        <f>'P&amp;L'!BX34/('Balance sheet'!BA55-'P&amp;L'!BX34)</f>
        <v>1.5001291143953526E-2</v>
      </c>
      <c r="CB7" s="433">
        <f>'P&amp;L'!BY34/('Balance sheet'!BB55-'P&amp;L'!BY34)</f>
        <v>9.9221375491077655E-3</v>
      </c>
      <c r="CC7" s="432">
        <f>'P&amp;L'!BZ34/('Balance sheet'!BB55-'P&amp;L'!BZ34)</f>
        <v>4.7710444656477474E-2</v>
      </c>
      <c r="CD7" s="433">
        <f>'P&amp;L'!CA34/('Balance sheet'!BC55-'P&amp;L'!CA34)</f>
        <v>5.0842090448489537E-3</v>
      </c>
    </row>
    <row r="8" spans="1:82" s="4" customFormat="1" ht="24" customHeight="1">
      <c r="A8" s="4" t="s">
        <v>600</v>
      </c>
      <c r="B8" s="4" t="s">
        <v>601</v>
      </c>
      <c r="C8" s="435">
        <v>0.6</v>
      </c>
      <c r="D8" s="435">
        <v>1.1000000000000001</v>
      </c>
      <c r="E8" s="435">
        <v>1.4</v>
      </c>
      <c r="F8" s="435">
        <v>1</v>
      </c>
      <c r="G8" s="436">
        <v>1.2</v>
      </c>
      <c r="H8" s="436">
        <v>0.9</v>
      </c>
      <c r="I8" s="436">
        <v>1</v>
      </c>
      <c r="J8" s="436">
        <v>0.9</v>
      </c>
      <c r="K8" s="435">
        <v>0.9</v>
      </c>
      <c r="L8" s="436">
        <v>0.99222253558666473</v>
      </c>
      <c r="M8" s="436">
        <v>1.1972812574503593</v>
      </c>
      <c r="N8" s="436">
        <v>1.1937547068795404</v>
      </c>
      <c r="O8" s="436">
        <v>1.1052998425278158</v>
      </c>
      <c r="P8" s="435">
        <v>1.1000000000000001</v>
      </c>
      <c r="Q8" s="436">
        <v>1.2520302028925108</v>
      </c>
      <c r="R8" s="436">
        <v>1.13470796163891</v>
      </c>
      <c r="S8" s="436">
        <v>1.0480052530350539</v>
      </c>
      <c r="T8" s="436">
        <v>1.0172641031890362</v>
      </c>
      <c r="U8" s="435">
        <v>1.0172641031890362</v>
      </c>
      <c r="V8" s="436">
        <v>1.1953668834873901</v>
      </c>
      <c r="W8" s="436">
        <v>1.1434662606816619</v>
      </c>
      <c r="X8" s="436">
        <v>1.2291320432164132</v>
      </c>
      <c r="Y8" s="436">
        <v>1.2518939180227138</v>
      </c>
      <c r="Z8" s="435">
        <v>1.2518939180227138</v>
      </c>
      <c r="AA8" s="436">
        <v>1.3919076872487033</v>
      </c>
      <c r="AB8" s="436">
        <v>1.1114925821972736</v>
      </c>
      <c r="AC8" s="436">
        <v>0.94501659921971548</v>
      </c>
      <c r="AD8" s="436">
        <v>0.95569502090756708</v>
      </c>
      <c r="AE8" s="435">
        <v>0.95569502090756708</v>
      </c>
      <c r="AF8" s="436">
        <v>0.95351583208829338</v>
      </c>
      <c r="AG8" s="436">
        <v>1.0069261213720315</v>
      </c>
      <c r="AH8" s="436">
        <v>0.47434112256006483</v>
      </c>
      <c r="AI8" s="436">
        <v>0.49948621035847135</v>
      </c>
      <c r="AJ8" s="435">
        <v>0.49948621035847135</v>
      </c>
      <c r="AK8" s="436">
        <v>0.92874645654158483</v>
      </c>
      <c r="AL8" s="436">
        <v>0.9143403550836332</v>
      </c>
      <c r="AM8" s="436">
        <v>0.99730487345250907</v>
      </c>
      <c r="AN8" s="436">
        <v>1.0242312289470821</v>
      </c>
      <c r="AO8" s="435">
        <v>1.0242312289470821</v>
      </c>
      <c r="AP8" s="436">
        <v>0.89580852038479164</v>
      </c>
      <c r="AQ8" s="436">
        <v>0.89208350653549495</v>
      </c>
      <c r="AR8" s="436">
        <v>0.91086116341294232</v>
      </c>
      <c r="AS8" s="436">
        <v>1.0040863235857489</v>
      </c>
      <c r="AT8" s="435">
        <v>1.0040863235857489</v>
      </c>
      <c r="AU8" s="436">
        <v>1.490674318507891</v>
      </c>
      <c r="AV8" s="436">
        <v>1.1393504531722054</v>
      </c>
      <c r="AW8" s="436">
        <v>1.1493006613900034</v>
      </c>
      <c r="AX8" s="436">
        <v>1.0805204638743873</v>
      </c>
      <c r="AY8" s="435">
        <v>1.0805204638743873</v>
      </c>
      <c r="AZ8" s="436">
        <v>1.0288783163318305</v>
      </c>
      <c r="BA8" s="436">
        <v>0.90459880771651757</v>
      </c>
      <c r="BB8" s="436">
        <v>0.8907010624311551</v>
      </c>
      <c r="BC8" s="436">
        <v>0.8494768412801198</v>
      </c>
      <c r="BD8" s="435">
        <v>0.8494768412801198</v>
      </c>
      <c r="BE8" s="436">
        <v>1.0446639929570576</v>
      </c>
      <c r="BF8" s="436">
        <v>1.4179311763798159</v>
      </c>
      <c r="BG8" s="436">
        <v>1.1340274796049807</v>
      </c>
      <c r="BH8" s="436">
        <v>1.0005308660700745</v>
      </c>
      <c r="BI8" s="435">
        <v>1.0005308660700745</v>
      </c>
      <c r="BJ8" s="436">
        <f>'Balance sheet'!AM38/'Balance sheet'!AM77</f>
        <v>1.2774572249281877</v>
      </c>
      <c r="BK8" s="436">
        <f>'Balance sheet'!AN38/'Balance sheet'!AN77</f>
        <v>1.0301228183581126</v>
      </c>
      <c r="BL8" s="436">
        <f>'Balance sheet'!AO38/'Balance sheet'!AO77</f>
        <v>1.7694467309501412</v>
      </c>
      <c r="BM8" s="436">
        <f>'Balance sheet'!AP38/'Balance sheet'!AP77</f>
        <v>1.4356326537866806</v>
      </c>
      <c r="BN8" s="435">
        <f>'Balance sheet'!AP38/'Balance sheet'!AP77</f>
        <v>1.4356326537866806</v>
      </c>
      <c r="BO8" s="436">
        <f>'Balance sheet'!AQ38/'Balance sheet'!AQ77</f>
        <v>1.4459542259866642</v>
      </c>
      <c r="BP8" s="436">
        <f>'Balance sheet'!AR38/'Balance sheet'!AR77</f>
        <v>1.0795776506819179</v>
      </c>
      <c r="BQ8" s="436">
        <f>'Balance sheet'!AS38/'Balance sheet'!AS77</f>
        <v>1.2105886363228622</v>
      </c>
      <c r="BR8" s="436">
        <f>'Balance sheet'!AT38/'Balance sheet'!AT77</f>
        <v>1.0139658612281091</v>
      </c>
      <c r="BS8" s="435">
        <f>'Balance sheet'!AT38/'Balance sheet'!AT77</f>
        <v>1.0139658612281091</v>
      </c>
      <c r="BT8" s="436">
        <f>'Balance sheet'!AU38/'Balance sheet'!AU77</f>
        <v>1.1551395360405923</v>
      </c>
      <c r="BU8" s="436">
        <f>'Balance sheet'!AV38/'Balance sheet'!AV77</f>
        <v>1.5649167096303938</v>
      </c>
      <c r="BV8" s="436">
        <f>'Balance sheet'!AW38/'Balance sheet'!AW77</f>
        <v>1.4882702070659974</v>
      </c>
      <c r="BW8" s="436">
        <f>'Balance sheet'!AX38/'Balance sheet'!AX77</f>
        <v>1.6351027956053521</v>
      </c>
      <c r="BX8" s="435">
        <f>'Balance sheet'!AX38/'Balance sheet'!AX77</f>
        <v>1.6351027956053521</v>
      </c>
      <c r="BY8" s="436">
        <f>'Balance sheet'!AY38/'Balance sheet'!AY77</f>
        <v>1.6367324074252931</v>
      </c>
      <c r="BZ8" s="436">
        <f>'Balance sheet'!AZ38/'Balance sheet'!AZ77</f>
        <v>1.6487937684337894</v>
      </c>
      <c r="CA8" s="436">
        <f>'Balance sheet'!BA38/'Balance sheet'!BA77</f>
        <v>1.5810121545362466</v>
      </c>
      <c r="CB8" s="436">
        <f>'Balance sheet'!BB38/'Balance sheet'!BB77</f>
        <v>1.5849507315616602</v>
      </c>
      <c r="CC8" s="435">
        <f>'Balance sheet'!BB38/'Balance sheet'!BB77</f>
        <v>1.5849507315616602</v>
      </c>
      <c r="CD8" s="436">
        <f>'Balance sheet'!BC38/'Balance sheet'!BC77</f>
        <v>1.6350738030011862</v>
      </c>
    </row>
    <row r="9" spans="1:82" s="4" customFormat="1" ht="24" customHeight="1">
      <c r="A9" s="445" t="s">
        <v>602</v>
      </c>
      <c r="B9" s="445" t="s">
        <v>603</v>
      </c>
      <c r="C9" s="446">
        <v>1.177</v>
      </c>
      <c r="D9" s="446">
        <v>0.89700000000000002</v>
      </c>
      <c r="E9" s="446">
        <v>0.61299999999999999</v>
      </c>
      <c r="F9" s="446">
        <v>0.58399999999999996</v>
      </c>
      <c r="G9" s="447">
        <v>0.52300000000000002</v>
      </c>
      <c r="H9" s="447">
        <v>0.65900000000000003</v>
      </c>
      <c r="I9" s="447">
        <v>0.60299999999999998</v>
      </c>
      <c r="J9" s="447">
        <v>0.57799999999999996</v>
      </c>
      <c r="K9" s="446">
        <v>0.57799999999999996</v>
      </c>
      <c r="L9" s="447">
        <v>0.58891930091111089</v>
      </c>
      <c r="M9" s="447">
        <v>0.64356702219385198</v>
      </c>
      <c r="N9" s="447">
        <v>0.66091379189163646</v>
      </c>
      <c r="O9" s="447">
        <v>0.64550322816584982</v>
      </c>
      <c r="P9" s="446">
        <v>0.64600000000000002</v>
      </c>
      <c r="Q9" s="447">
        <v>0.6200507963830475</v>
      </c>
      <c r="R9" s="447">
        <v>0.60836960799428208</v>
      </c>
      <c r="S9" s="447">
        <v>0.57298843092335383</v>
      </c>
      <c r="T9" s="447">
        <v>0.55614999608907556</v>
      </c>
      <c r="U9" s="446">
        <v>0.55614999608907556</v>
      </c>
      <c r="V9" s="447">
        <v>0.54486547055728474</v>
      </c>
      <c r="W9" s="447">
        <v>0.52665229914601286</v>
      </c>
      <c r="X9" s="447">
        <v>0.49525051978561557</v>
      </c>
      <c r="Y9" s="447">
        <v>0.47126649202023174</v>
      </c>
      <c r="Z9" s="446">
        <v>0.47126649202023174</v>
      </c>
      <c r="AA9" s="447">
        <v>0.46876671667355413</v>
      </c>
      <c r="AB9" s="447">
        <v>0.67327892593910244</v>
      </c>
      <c r="AC9" s="447">
        <v>0.66774740549903211</v>
      </c>
      <c r="AD9" s="447">
        <v>0.66793699017975172</v>
      </c>
      <c r="AE9" s="446">
        <v>0.66793699017975172</v>
      </c>
      <c r="AF9" s="447">
        <v>0.65624665453377584</v>
      </c>
      <c r="AG9" s="447">
        <v>0.64785681126528083</v>
      </c>
      <c r="AH9" s="447">
        <v>0.61520071910800012</v>
      </c>
      <c r="AI9" s="447">
        <v>0.61305921834949684</v>
      </c>
      <c r="AJ9" s="446">
        <v>0.61305921834949684</v>
      </c>
      <c r="AK9" s="447">
        <v>0.63304473558921559</v>
      </c>
      <c r="AL9" s="447">
        <v>0.60981976788452963</v>
      </c>
      <c r="AM9" s="447">
        <v>0.59868152930210516</v>
      </c>
      <c r="AN9" s="447">
        <v>0.58969032755965733</v>
      </c>
      <c r="AO9" s="446">
        <v>0.58969032755965733</v>
      </c>
      <c r="AP9" s="447">
        <v>0.57724329660438722</v>
      </c>
      <c r="AQ9" s="447">
        <v>0.57078429578109258</v>
      </c>
      <c r="AR9" s="447">
        <v>0.55527171043335344</v>
      </c>
      <c r="AS9" s="447">
        <v>0.56345294711053473</v>
      </c>
      <c r="AT9" s="446">
        <v>0.56345294711053473</v>
      </c>
      <c r="AU9" s="447">
        <v>0.53736233796030752</v>
      </c>
      <c r="AV9" s="447">
        <v>0.54778902647252581</v>
      </c>
      <c r="AW9" s="447">
        <v>0.54988764710333504</v>
      </c>
      <c r="AX9" s="447">
        <v>0.54799197310468839</v>
      </c>
      <c r="AY9" s="446">
        <v>0.54799197310468839</v>
      </c>
      <c r="AZ9" s="447">
        <v>0.5495585402907468</v>
      </c>
      <c r="BA9" s="447">
        <v>0.55615895813668714</v>
      </c>
      <c r="BB9" s="447">
        <v>0.54743795100023351</v>
      </c>
      <c r="BC9" s="447">
        <v>0.5561620885190367</v>
      </c>
      <c r="BD9" s="446">
        <v>0.5561620885190367</v>
      </c>
      <c r="BE9" s="447">
        <v>0.55172741107270029</v>
      </c>
      <c r="BF9" s="447">
        <v>0.54209939061024826</v>
      </c>
      <c r="BG9" s="447">
        <v>0.55374976001170229</v>
      </c>
      <c r="BH9" s="447">
        <v>0.56436056167899751</v>
      </c>
      <c r="BI9" s="446">
        <v>0.56436056167899751</v>
      </c>
      <c r="BJ9" s="447">
        <f>'Balance sheet'!AM80/'Balance sheet'!AM41</f>
        <v>0.53371163270570032</v>
      </c>
      <c r="BK9" s="447">
        <f>'Balance sheet'!AN80/'Balance sheet'!AN41</f>
        <v>0.54552385465171038</v>
      </c>
      <c r="BL9" s="447">
        <f>'Balance sheet'!AO80/'Balance sheet'!AO41</f>
        <v>0.51333151687361345</v>
      </c>
      <c r="BM9" s="447">
        <f>'Balance sheet'!AP80/'Balance sheet'!AP41</f>
        <v>0.52276576604522751</v>
      </c>
      <c r="BN9" s="446">
        <f>'Balance sheet'!AP80/'Balance sheet'!AP41</f>
        <v>0.52276576604522751</v>
      </c>
      <c r="BO9" s="447">
        <f>'Balance sheet'!AQ80/'Balance sheet'!AQ41</f>
        <v>0.51068185808522926</v>
      </c>
      <c r="BP9" s="447">
        <f>'Balance sheet'!AR80/'Balance sheet'!AR41</f>
        <v>0.51515684918589311</v>
      </c>
      <c r="BQ9" s="447">
        <f>'Balance sheet'!AS80/'Balance sheet'!AS41</f>
        <v>0.50595211795671313</v>
      </c>
      <c r="BR9" s="447">
        <f>'Balance sheet'!AT80/'Balance sheet'!AT41</f>
        <v>0.51060154890951082</v>
      </c>
      <c r="BS9" s="446">
        <f>'Balance sheet'!AT80/'Balance sheet'!AT41</f>
        <v>0.51060154890951082</v>
      </c>
      <c r="BT9" s="447">
        <f>'Balance sheet'!AU80/'Balance sheet'!AU41</f>
        <v>0.51632399285596731</v>
      </c>
      <c r="BU9" s="447">
        <f>'Balance sheet'!AV80/'Balance sheet'!AV41</f>
        <v>0.54311413140587805</v>
      </c>
      <c r="BV9" s="447">
        <f>'Balance sheet'!AW80/'Balance sheet'!AW41</f>
        <v>0.57132134786238553</v>
      </c>
      <c r="BW9" s="447">
        <f>'Balance sheet'!AX80/'Balance sheet'!AX41</f>
        <v>0.56141346596120678</v>
      </c>
      <c r="BX9" s="446">
        <f>'Balance sheet'!AX80/'Balance sheet'!AX41</f>
        <v>0.56141346596120678</v>
      </c>
      <c r="BY9" s="447">
        <f>'Balance sheet'!AY80/'Balance sheet'!AY41</f>
        <v>0.54902969051298534</v>
      </c>
      <c r="BZ9" s="447">
        <f>'Balance sheet'!AZ80/'Balance sheet'!AZ41</f>
        <v>0.546900109035242</v>
      </c>
      <c r="CA9" s="447">
        <f>'Balance sheet'!BA80/'Balance sheet'!BA41</f>
        <v>0.54538803549382298</v>
      </c>
      <c r="CB9" s="447">
        <f>'Balance sheet'!BB80/'Balance sheet'!BB41</f>
        <v>0.54442991352620906</v>
      </c>
      <c r="CC9" s="446">
        <f>'Balance sheet'!BB80/'Balance sheet'!BB41</f>
        <v>0.54442991352620906</v>
      </c>
      <c r="CD9" s="447">
        <f>'Balance sheet'!BC80/'Balance sheet'!BC41</f>
        <v>0.53069209874920598</v>
      </c>
    </row>
    <row r="13" spans="1:82" s="438" customFormat="1" ht="13.3">
      <c r="A13" s="437" t="s">
        <v>604</v>
      </c>
      <c r="B13" s="437" t="s">
        <v>605</v>
      </c>
    </row>
    <row r="14" spans="1:82" s="438" customFormat="1" ht="13.3">
      <c r="A14" s="437" t="s">
        <v>606</v>
      </c>
      <c r="B14" s="437" t="s">
        <v>607</v>
      </c>
    </row>
    <row r="15" spans="1:82" s="438" customFormat="1" ht="13.3">
      <c r="A15" s="437" t="s">
        <v>608</v>
      </c>
      <c r="B15" s="437" t="s">
        <v>609</v>
      </c>
    </row>
    <row r="16" spans="1:82" s="438" customFormat="1" ht="13.3">
      <c r="A16" s="437" t="s">
        <v>610</v>
      </c>
      <c r="B16" s="437" t="s">
        <v>611</v>
      </c>
    </row>
    <row r="17" spans="1:2" s="438" customFormat="1" ht="13.3">
      <c r="A17" s="437" t="s">
        <v>612</v>
      </c>
      <c r="B17" s="437" t="s">
        <v>613</v>
      </c>
    </row>
    <row r="18" spans="1:2" s="438" customFormat="1" ht="13.3">
      <c r="A18" s="437" t="s">
        <v>614</v>
      </c>
      <c r="B18" s="437" t="s">
        <v>615</v>
      </c>
    </row>
    <row r="19" spans="1:2" s="438" customFormat="1" ht="13.3">
      <c r="A19" s="437" t="s">
        <v>616</v>
      </c>
      <c r="B19" s="437" t="s">
        <v>617</v>
      </c>
    </row>
  </sheetData>
  <pageMargins left="0.70866141732283472" right="0.70866141732283472" top="0.74803149606299213" bottom="0.74803149606299213" header="0.31496062992125984" footer="0.31496062992125984"/>
  <pageSetup paperSize="9" scale="19"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49"/>
  <sheetViews>
    <sheetView showGridLines="0" zoomScale="80" zoomScaleNormal="80" zoomScaleSheetLayoutView="85" workbookViewId="0">
      <pane xSplit="22" ySplit="4" topLeftCell="Y5" activePane="bottomRight" state="frozen"/>
      <selection pane="topRight" activeCell="W1" sqref="W1"/>
      <selection pane="bottomLeft" activeCell="A5" sqref="A5"/>
      <selection pane="bottomRight" activeCell="AJ13" sqref="AJ13"/>
    </sheetView>
  </sheetViews>
  <sheetFormatPr defaultColWidth="9" defaultRowHeight="28.5" customHeight="1" outlineLevelCol="1"/>
  <cols>
    <col min="1" max="2" width="40.5703125" style="538" customWidth="1"/>
    <col min="3" max="5" width="9" style="538" hidden="1" customWidth="1" outlineLevel="1"/>
    <col min="6" max="6" width="10.5703125" style="538" hidden="1" customWidth="1" outlineLevel="1"/>
    <col min="7" max="22" width="9" style="538" hidden="1" customWidth="1" outlineLevel="1"/>
    <col min="23" max="23" width="9" style="538" collapsed="1"/>
    <col min="24" max="16384" width="9" style="538"/>
  </cols>
  <sheetData>
    <row r="1" spans="1:36" s="518" customFormat="1" ht="89.25" customHeight="1">
      <c r="A1" s="517"/>
      <c r="B1" s="517"/>
      <c r="H1" s="519"/>
      <c r="I1" s="519"/>
      <c r="L1" s="519"/>
      <c r="M1" s="519"/>
      <c r="P1" s="519"/>
      <c r="Q1" s="519"/>
      <c r="T1" s="519"/>
      <c r="U1" s="519"/>
      <c r="V1" s="686"/>
      <c r="X1" s="519"/>
      <c r="Y1" s="519"/>
      <c r="Z1" s="686"/>
      <c r="AB1" s="519"/>
      <c r="AC1" s="519"/>
      <c r="AD1" s="686"/>
    </row>
    <row r="2" spans="1:36" s="521" customFormat="1" ht="12">
      <c r="A2" s="971"/>
      <c r="B2" s="971"/>
      <c r="C2" s="520"/>
      <c r="D2" s="520"/>
      <c r="E2" s="520"/>
      <c r="F2" s="520"/>
      <c r="G2" s="520"/>
      <c r="H2" s="520"/>
      <c r="I2" s="520"/>
      <c r="J2" s="520"/>
      <c r="K2" s="520"/>
      <c r="L2" s="520"/>
      <c r="M2" s="520"/>
      <c r="N2" s="520"/>
      <c r="O2" s="520"/>
      <c r="P2" s="520"/>
      <c r="Q2" s="520"/>
      <c r="S2" s="520"/>
      <c r="T2" s="520"/>
      <c r="U2" s="520"/>
      <c r="W2" s="520"/>
      <c r="X2" s="719"/>
      <c r="Y2" s="520"/>
      <c r="AA2" s="520"/>
      <c r="AB2" s="719"/>
      <c r="AC2" s="520"/>
    </row>
    <row r="3" spans="1:36" s="523" customFormat="1" ht="20.149999999999999" customHeight="1">
      <c r="A3" s="522" t="s">
        <v>618</v>
      </c>
      <c r="B3" s="522" t="s">
        <v>619</v>
      </c>
      <c r="C3" s="969">
        <v>2018</v>
      </c>
      <c r="D3" s="969"/>
      <c r="E3" s="969"/>
      <c r="F3" s="969"/>
      <c r="G3" s="968">
        <v>2019</v>
      </c>
      <c r="H3" s="969"/>
      <c r="I3" s="969"/>
      <c r="J3" s="970"/>
      <c r="K3" s="969">
        <v>2020</v>
      </c>
      <c r="L3" s="969"/>
      <c r="M3" s="969"/>
      <c r="N3" s="969"/>
      <c r="O3" s="968">
        <v>2021</v>
      </c>
      <c r="P3" s="969"/>
      <c r="Q3" s="969"/>
      <c r="R3" s="970"/>
      <c r="S3" s="968">
        <v>2022</v>
      </c>
      <c r="T3" s="969"/>
      <c r="U3" s="969"/>
      <c r="V3" s="970"/>
      <c r="W3" s="968">
        <v>2023</v>
      </c>
      <c r="X3" s="969"/>
      <c r="Y3" s="969"/>
      <c r="Z3" s="970"/>
      <c r="AA3" s="968">
        <v>2024</v>
      </c>
      <c r="AB3" s="969"/>
      <c r="AC3" s="969"/>
      <c r="AD3" s="970"/>
      <c r="AE3" s="968">
        <v>2025</v>
      </c>
      <c r="AF3" s="969"/>
      <c r="AG3" s="969"/>
      <c r="AH3" s="970"/>
    </row>
    <row r="4" spans="1:36" s="523" customFormat="1" ht="21.75" customHeight="1">
      <c r="A4" s="522"/>
      <c r="B4" s="522"/>
      <c r="C4" s="524" t="s">
        <v>620</v>
      </c>
      <c r="D4" s="524" t="s">
        <v>621</v>
      </c>
      <c r="E4" s="524" t="s">
        <v>622</v>
      </c>
      <c r="F4" s="524" t="s">
        <v>623</v>
      </c>
      <c r="G4" s="525" t="str">
        <f t="shared" ref="G4:R4" si="0">C4</f>
        <v>1Q</v>
      </c>
      <c r="H4" s="524" t="str">
        <f t="shared" si="0"/>
        <v>2Q</v>
      </c>
      <c r="I4" s="524" t="str">
        <f t="shared" si="0"/>
        <v>3Q</v>
      </c>
      <c r="J4" s="526" t="str">
        <f t="shared" si="0"/>
        <v>4Q</v>
      </c>
      <c r="K4" s="524" t="str">
        <f t="shared" si="0"/>
        <v>1Q</v>
      </c>
      <c r="L4" s="524" t="str">
        <f t="shared" si="0"/>
        <v>2Q</v>
      </c>
      <c r="M4" s="524" t="str">
        <f t="shared" si="0"/>
        <v>3Q</v>
      </c>
      <c r="N4" s="524" t="str">
        <f t="shared" si="0"/>
        <v>4Q</v>
      </c>
      <c r="O4" s="525" t="str">
        <f t="shared" si="0"/>
        <v>1Q</v>
      </c>
      <c r="P4" s="524" t="str">
        <f t="shared" si="0"/>
        <v>2Q</v>
      </c>
      <c r="Q4" s="524" t="str">
        <f t="shared" si="0"/>
        <v>3Q</v>
      </c>
      <c r="R4" s="526" t="str">
        <f t="shared" si="0"/>
        <v>4Q</v>
      </c>
      <c r="S4" s="525" t="str">
        <f t="shared" ref="S4" si="1">O4</f>
        <v>1Q</v>
      </c>
      <c r="T4" s="524" t="str">
        <f t="shared" ref="T4" si="2">P4</f>
        <v>2Q</v>
      </c>
      <c r="U4" s="524" t="str">
        <f t="shared" ref="U4" si="3">Q4</f>
        <v>3Q</v>
      </c>
      <c r="V4" s="526" t="str">
        <f t="shared" ref="V4" si="4">R4</f>
        <v>4Q</v>
      </c>
      <c r="W4" s="525" t="str">
        <f t="shared" ref="W4" si="5">S4</f>
        <v>1Q</v>
      </c>
      <c r="X4" s="524" t="str">
        <f t="shared" ref="X4" si="6">T4</f>
        <v>2Q</v>
      </c>
      <c r="Y4" s="524" t="str">
        <f t="shared" ref="Y4" si="7">U4</f>
        <v>3Q</v>
      </c>
      <c r="Z4" s="526" t="str">
        <f t="shared" ref="Z4" si="8">V4</f>
        <v>4Q</v>
      </c>
      <c r="AA4" s="525" t="str">
        <f t="shared" ref="AA4" si="9">W4</f>
        <v>1Q</v>
      </c>
      <c r="AB4" s="524" t="str">
        <f t="shared" ref="AB4" si="10">X4</f>
        <v>2Q</v>
      </c>
      <c r="AC4" s="524" t="str">
        <f t="shared" ref="AC4" si="11">Y4</f>
        <v>3Q</v>
      </c>
      <c r="AD4" s="526" t="str">
        <f t="shared" ref="AD4" si="12">Z4</f>
        <v>4Q</v>
      </c>
      <c r="AE4" s="525" t="str">
        <f t="shared" ref="AE4" si="13">AA4</f>
        <v>1Q</v>
      </c>
      <c r="AF4" s="524" t="str">
        <f t="shared" ref="AF4" si="14">AB4</f>
        <v>2Q</v>
      </c>
      <c r="AG4" s="524" t="str">
        <f t="shared" ref="AG4" si="15">AC4</f>
        <v>3Q</v>
      </c>
      <c r="AH4" s="526" t="str">
        <f t="shared" ref="AH4" si="16">AD4</f>
        <v>4Q</v>
      </c>
    </row>
    <row r="5" spans="1:36" s="531" customFormat="1" ht="20.149999999999999" customHeight="1">
      <c r="A5" s="527" t="s">
        <v>624</v>
      </c>
      <c r="B5" s="527" t="s">
        <v>625</v>
      </c>
      <c r="C5" s="528"/>
      <c r="D5" s="528"/>
      <c r="E5" s="528"/>
      <c r="F5" s="528"/>
      <c r="G5" s="529"/>
      <c r="H5" s="528"/>
      <c r="I5" s="528"/>
      <c r="J5" s="528"/>
      <c r="K5" s="530"/>
      <c r="L5" s="528"/>
      <c r="M5" s="528"/>
      <c r="N5" s="528"/>
      <c r="O5" s="529"/>
      <c r="P5" s="528"/>
      <c r="Q5" s="528"/>
      <c r="R5" s="618"/>
      <c r="S5" s="529"/>
      <c r="T5" s="528"/>
      <c r="U5" s="528"/>
      <c r="V5" s="618"/>
      <c r="W5" s="529"/>
      <c r="X5" s="528"/>
      <c r="Y5" s="528"/>
      <c r="Z5" s="618"/>
      <c r="AA5" s="529"/>
      <c r="AB5" s="528"/>
      <c r="AC5" s="528"/>
      <c r="AD5" s="618"/>
      <c r="AE5" s="529"/>
      <c r="AF5" s="528"/>
      <c r="AG5" s="528"/>
      <c r="AH5" s="618"/>
    </row>
    <row r="6" spans="1:36" ht="20.149999999999999" customHeight="1">
      <c r="A6" s="532" t="s">
        <v>626</v>
      </c>
      <c r="B6" s="533" t="s">
        <v>627</v>
      </c>
      <c r="C6" s="534">
        <f t="shared" ref="C6:AD6" si="17">SUM(C7:C9)</f>
        <v>12361.7</v>
      </c>
      <c r="D6" s="534">
        <f t="shared" si="17"/>
        <v>12435.4</v>
      </c>
      <c r="E6" s="534">
        <f t="shared" si="17"/>
        <v>12508</v>
      </c>
      <c r="F6" s="534">
        <f t="shared" si="17"/>
        <v>12646.4</v>
      </c>
      <c r="G6" s="535">
        <f t="shared" si="17"/>
        <v>12677.4</v>
      </c>
      <c r="H6" s="534">
        <f t="shared" si="17"/>
        <v>12715.1</v>
      </c>
      <c r="I6" s="534">
        <f t="shared" si="17"/>
        <v>12793.1</v>
      </c>
      <c r="J6" s="534">
        <f t="shared" si="17"/>
        <v>12901.7</v>
      </c>
      <c r="K6" s="536">
        <f t="shared" si="17"/>
        <v>12907.6</v>
      </c>
      <c r="L6" s="534">
        <f t="shared" si="17"/>
        <v>12984.099999999999</v>
      </c>
      <c r="M6" s="534">
        <f t="shared" si="17"/>
        <v>13084</v>
      </c>
      <c r="N6" s="534">
        <f t="shared" si="17"/>
        <v>13169.3</v>
      </c>
      <c r="O6" s="535">
        <f t="shared" si="17"/>
        <v>13172</v>
      </c>
      <c r="P6" s="534">
        <f t="shared" si="17"/>
        <v>13188</v>
      </c>
      <c r="Q6" s="534">
        <f t="shared" si="17"/>
        <v>13494</v>
      </c>
      <c r="R6" s="619">
        <f t="shared" si="17"/>
        <v>13465</v>
      </c>
      <c r="S6" s="535">
        <f t="shared" si="17"/>
        <v>13379</v>
      </c>
      <c r="T6" s="534">
        <f t="shared" si="17"/>
        <v>13349</v>
      </c>
      <c r="U6" s="534">
        <f t="shared" si="17"/>
        <v>13341</v>
      </c>
      <c r="V6" s="619">
        <f t="shared" si="17"/>
        <v>13285</v>
      </c>
      <c r="W6" s="535">
        <f t="shared" si="17"/>
        <v>13163</v>
      </c>
      <c r="X6" s="534">
        <f t="shared" si="17"/>
        <v>13083</v>
      </c>
      <c r="Y6" s="534">
        <f t="shared" si="17"/>
        <v>13054</v>
      </c>
      <c r="Z6" s="619">
        <f t="shared" si="17"/>
        <v>13083</v>
      </c>
      <c r="AA6" s="535">
        <f t="shared" si="17"/>
        <v>13077</v>
      </c>
      <c r="AB6" s="534">
        <f t="shared" si="17"/>
        <v>13086</v>
      </c>
      <c r="AC6" s="534">
        <f t="shared" si="17"/>
        <v>13129</v>
      </c>
      <c r="AD6" s="619">
        <f t="shared" si="17"/>
        <v>13209.116</v>
      </c>
      <c r="AE6" s="535">
        <f t="shared" ref="AE6" si="18">SUM(AE7:AE9)</f>
        <v>13289</v>
      </c>
      <c r="AF6" s="534"/>
      <c r="AG6" s="534"/>
      <c r="AH6" s="619"/>
      <c r="AI6" s="763"/>
      <c r="AJ6" s="763"/>
    </row>
    <row r="7" spans="1:36" ht="20.149999999999999" customHeight="1">
      <c r="A7" s="539" t="s">
        <v>628</v>
      </c>
      <c r="B7" s="539" t="s">
        <v>629</v>
      </c>
      <c r="C7" s="540">
        <v>5220.5</v>
      </c>
      <c r="D7" s="540">
        <v>5270</v>
      </c>
      <c r="E7" s="540">
        <v>5288.3</v>
      </c>
      <c r="F7" s="540">
        <v>5358.7</v>
      </c>
      <c r="G7" s="541">
        <v>5345.9</v>
      </c>
      <c r="H7" s="540">
        <v>5334.3</v>
      </c>
      <c r="I7" s="540">
        <v>5317.8</v>
      </c>
      <c r="J7" s="542">
        <v>5336</v>
      </c>
      <c r="K7" s="540">
        <v>5300.7</v>
      </c>
      <c r="L7" s="540">
        <v>5319.4</v>
      </c>
      <c r="M7" s="540">
        <v>5339.7</v>
      </c>
      <c r="N7" s="540">
        <v>5355.3</v>
      </c>
      <c r="O7" s="541">
        <v>5344</v>
      </c>
      <c r="P7" s="540">
        <v>5332</v>
      </c>
      <c r="Q7" s="540">
        <v>5306</v>
      </c>
      <c r="R7" s="620">
        <v>5264</v>
      </c>
      <c r="S7" s="541">
        <v>5177</v>
      </c>
      <c r="T7" s="540">
        <v>5117</v>
      </c>
      <c r="U7" s="540">
        <v>5106</v>
      </c>
      <c r="V7" s="624">
        <v>5049</v>
      </c>
      <c r="W7" s="541">
        <v>4951</v>
      </c>
      <c r="X7" s="540">
        <v>4895</v>
      </c>
      <c r="Y7" s="738">
        <v>4863</v>
      </c>
      <c r="Z7" s="624">
        <v>4843</v>
      </c>
      <c r="AA7" s="541">
        <v>4804</v>
      </c>
      <c r="AB7" s="540">
        <v>4749</v>
      </c>
      <c r="AC7" s="540">
        <v>4694</v>
      </c>
      <c r="AD7" s="624">
        <v>4682.8559999999998</v>
      </c>
      <c r="AE7" s="541">
        <v>4661</v>
      </c>
      <c r="AF7" s="540"/>
      <c r="AG7" s="738"/>
      <c r="AH7" s="624"/>
      <c r="AI7" s="763"/>
      <c r="AJ7" s="763"/>
    </row>
    <row r="8" spans="1:36" ht="20.149999999999999" customHeight="1">
      <c r="A8" s="539" t="s">
        <v>630</v>
      </c>
      <c r="B8" s="539" t="s">
        <v>631</v>
      </c>
      <c r="C8" s="540">
        <v>5109</v>
      </c>
      <c r="D8" s="540">
        <v>5150.6000000000004</v>
      </c>
      <c r="E8" s="540">
        <v>5212.2</v>
      </c>
      <c r="F8" s="540">
        <v>5271.2</v>
      </c>
      <c r="G8" s="541">
        <v>5334.6</v>
      </c>
      <c r="H8" s="540">
        <v>5396.4</v>
      </c>
      <c r="I8" s="540">
        <v>5494.2</v>
      </c>
      <c r="J8" s="542">
        <v>5578.1</v>
      </c>
      <c r="K8" s="540">
        <v>5628.3</v>
      </c>
      <c r="L8" s="540">
        <v>5683.4</v>
      </c>
      <c r="M8" s="540">
        <v>5760.6</v>
      </c>
      <c r="N8" s="540">
        <v>5810.2</v>
      </c>
      <c r="O8" s="541">
        <v>5832</v>
      </c>
      <c r="P8" s="540">
        <v>5864</v>
      </c>
      <c r="Q8" s="540">
        <v>6182</v>
      </c>
      <c r="R8" s="620">
        <v>6195</v>
      </c>
      <c r="S8" s="541">
        <v>6205</v>
      </c>
      <c r="T8" s="540">
        <v>6230</v>
      </c>
      <c r="U8" s="540">
        <v>6232</v>
      </c>
      <c r="V8" s="624">
        <v>6238</v>
      </c>
      <c r="W8" s="541">
        <v>6232</v>
      </c>
      <c r="X8" s="540">
        <v>6218</v>
      </c>
      <c r="Y8" s="738">
        <v>6213</v>
      </c>
      <c r="Z8" s="624">
        <v>6246</v>
      </c>
      <c r="AA8" s="541">
        <v>6273</v>
      </c>
      <c r="AB8" s="540">
        <v>6317</v>
      </c>
      <c r="AC8" s="540">
        <v>6378</v>
      </c>
      <c r="AD8" s="624">
        <v>6437.26</v>
      </c>
      <c r="AE8" s="541">
        <v>6483</v>
      </c>
      <c r="AF8" s="540"/>
      <c r="AG8" s="738"/>
      <c r="AH8" s="624"/>
      <c r="AI8" s="763"/>
      <c r="AJ8" s="763"/>
    </row>
    <row r="9" spans="1:36" ht="18.75" customHeight="1">
      <c r="A9" s="539" t="s">
        <v>632</v>
      </c>
      <c r="B9" s="539" t="s">
        <v>633</v>
      </c>
      <c r="C9" s="540">
        <v>2032.2</v>
      </c>
      <c r="D9" s="540">
        <v>2014.8</v>
      </c>
      <c r="E9" s="540">
        <v>2007.5</v>
      </c>
      <c r="F9" s="540">
        <v>2016.5</v>
      </c>
      <c r="G9" s="541">
        <v>1996.9</v>
      </c>
      <c r="H9" s="540">
        <v>1984.4</v>
      </c>
      <c r="I9" s="540">
        <v>1981.1</v>
      </c>
      <c r="J9" s="542">
        <v>1987.6</v>
      </c>
      <c r="K9" s="540">
        <v>1978.6</v>
      </c>
      <c r="L9" s="540">
        <v>1981.3</v>
      </c>
      <c r="M9" s="540">
        <v>1983.7</v>
      </c>
      <c r="N9" s="540">
        <v>2003.8</v>
      </c>
      <c r="O9" s="541">
        <v>1996</v>
      </c>
      <c r="P9" s="540">
        <v>1992</v>
      </c>
      <c r="Q9" s="540">
        <v>2006</v>
      </c>
      <c r="R9" s="620">
        <v>2006</v>
      </c>
      <c r="S9" s="541">
        <v>1997</v>
      </c>
      <c r="T9" s="540">
        <v>2002</v>
      </c>
      <c r="U9" s="540">
        <v>2003</v>
      </c>
      <c r="V9" s="624">
        <v>1998</v>
      </c>
      <c r="W9" s="541">
        <v>1980</v>
      </c>
      <c r="X9" s="540">
        <v>1970</v>
      </c>
      <c r="Y9" s="738">
        <v>1978</v>
      </c>
      <c r="Z9" s="624">
        <v>1994</v>
      </c>
      <c r="AA9" s="541">
        <v>2000</v>
      </c>
      <c r="AB9" s="540">
        <v>2020</v>
      </c>
      <c r="AC9" s="540">
        <v>2057</v>
      </c>
      <c r="AD9" s="624">
        <v>2089</v>
      </c>
      <c r="AE9" s="541">
        <v>2145</v>
      </c>
      <c r="AF9" s="540"/>
      <c r="AG9" s="738"/>
      <c r="AH9" s="624"/>
      <c r="AI9" s="763"/>
      <c r="AJ9" s="763"/>
    </row>
    <row r="10" spans="1:36" s="543" customFormat="1" ht="20.149999999999999" customHeight="1">
      <c r="A10" s="532" t="s">
        <v>634</v>
      </c>
      <c r="B10" s="533" t="s">
        <v>635</v>
      </c>
      <c r="C10" s="534">
        <v>6252</v>
      </c>
      <c r="D10" s="534">
        <v>6217</v>
      </c>
      <c r="E10" s="534">
        <v>6192</v>
      </c>
      <c r="F10" s="534">
        <v>6176.3</v>
      </c>
      <c r="G10" s="535">
        <v>6133.1</v>
      </c>
      <c r="H10" s="534">
        <v>6100.4</v>
      </c>
      <c r="I10" s="534">
        <v>6082.7</v>
      </c>
      <c r="J10" s="534">
        <v>6086.7</v>
      </c>
      <c r="K10" s="536">
        <v>6046.1</v>
      </c>
      <c r="L10" s="534">
        <v>6033</v>
      </c>
      <c r="M10" s="534">
        <v>6018.3</v>
      </c>
      <c r="N10" s="534">
        <v>6003.6</v>
      </c>
      <c r="O10" s="535">
        <v>5962</v>
      </c>
      <c r="P10" s="534">
        <v>5932</v>
      </c>
      <c r="Q10" s="534">
        <v>6069</v>
      </c>
      <c r="R10" s="619">
        <v>6047</v>
      </c>
      <c r="S10" s="535">
        <v>6012</v>
      </c>
      <c r="T10" s="534">
        <v>5990</v>
      </c>
      <c r="U10" s="534">
        <v>5967</v>
      </c>
      <c r="V10" s="619">
        <v>5934</v>
      </c>
      <c r="W10" s="758">
        <v>5887</v>
      </c>
      <c r="X10" s="759">
        <v>5848</v>
      </c>
      <c r="Y10" s="760">
        <v>5820</v>
      </c>
      <c r="Z10" s="619">
        <v>5795</v>
      </c>
      <c r="AA10" s="535">
        <v>5772</v>
      </c>
      <c r="AB10" s="534">
        <v>5758</v>
      </c>
      <c r="AC10" s="534">
        <v>5747</v>
      </c>
      <c r="AD10" s="619">
        <v>5737</v>
      </c>
      <c r="AE10" s="758">
        <v>5721</v>
      </c>
      <c r="AF10" s="759"/>
      <c r="AG10" s="760"/>
      <c r="AH10" s="619"/>
      <c r="AI10" s="763"/>
      <c r="AJ10" s="763"/>
    </row>
    <row r="11" spans="1:36" s="549" customFormat="1" ht="20.149999999999999" customHeight="1">
      <c r="A11" s="544" t="s">
        <v>636</v>
      </c>
      <c r="B11" s="545" t="s">
        <v>637</v>
      </c>
      <c r="C11" s="546">
        <v>60.6</v>
      </c>
      <c r="D11" s="546">
        <v>61.3</v>
      </c>
      <c r="E11" s="546">
        <v>62.5</v>
      </c>
      <c r="F11" s="546">
        <v>62.6</v>
      </c>
      <c r="G11" s="547">
        <v>62</v>
      </c>
      <c r="H11" s="546">
        <v>62.2</v>
      </c>
      <c r="I11" s="546">
        <v>63.4</v>
      </c>
      <c r="J11" s="546">
        <v>63.8</v>
      </c>
      <c r="K11" s="548">
        <v>63.3</v>
      </c>
      <c r="L11" s="546">
        <v>63.3</v>
      </c>
      <c r="M11" s="546">
        <v>64.900000000000006</v>
      </c>
      <c r="N11" s="546">
        <v>66.2</v>
      </c>
      <c r="O11" s="547">
        <v>67.2</v>
      </c>
      <c r="P11" s="546">
        <v>67.8</v>
      </c>
      <c r="Q11" s="546">
        <v>68.599999999999994</v>
      </c>
      <c r="R11" s="621">
        <v>69.099999999999994</v>
      </c>
      <c r="S11" s="547">
        <v>69.8</v>
      </c>
      <c r="T11" s="546">
        <v>70.2</v>
      </c>
      <c r="U11" s="546">
        <v>71.3</v>
      </c>
      <c r="V11" s="621">
        <v>71.7</v>
      </c>
      <c r="W11" s="547">
        <v>71.400000000000006</v>
      </c>
      <c r="X11" s="546">
        <v>71.8</v>
      </c>
      <c r="Y11" s="546">
        <v>73.5</v>
      </c>
      <c r="Z11" s="621">
        <v>73.599999999999994</v>
      </c>
      <c r="AA11" s="547">
        <v>74.599999999999994</v>
      </c>
      <c r="AB11" s="546">
        <v>75.2</v>
      </c>
      <c r="AC11" s="546">
        <v>77.2</v>
      </c>
      <c r="AD11" s="621">
        <v>77.400000000000006</v>
      </c>
      <c r="AE11" s="547">
        <v>77.7</v>
      </c>
      <c r="AF11" s="546"/>
      <c r="AG11" s="546"/>
      <c r="AH11" s="621"/>
      <c r="AI11" s="774"/>
    </row>
    <row r="12" spans="1:36" s="549" customFormat="1" ht="20.149999999999999" customHeight="1">
      <c r="A12" s="544" t="s">
        <v>638</v>
      </c>
      <c r="B12" s="545" t="s">
        <v>639</v>
      </c>
      <c r="C12" s="546">
        <v>60.6</v>
      </c>
      <c r="D12" s="546">
        <v>60.9</v>
      </c>
      <c r="E12" s="546">
        <v>61.5</v>
      </c>
      <c r="F12" s="546">
        <v>61.8</v>
      </c>
      <c r="G12" s="547">
        <v>62</v>
      </c>
      <c r="H12" s="546">
        <v>62.1</v>
      </c>
      <c r="I12" s="546">
        <v>62.5</v>
      </c>
      <c r="J12" s="546">
        <v>62.9</v>
      </c>
      <c r="K12" s="548">
        <v>63.3</v>
      </c>
      <c r="L12" s="546">
        <v>63.3</v>
      </c>
      <c r="M12" s="546">
        <v>63.9</v>
      </c>
      <c r="N12" s="546">
        <v>64.5</v>
      </c>
      <c r="O12" s="547">
        <v>67.2</v>
      </c>
      <c r="P12" s="546">
        <v>67.5</v>
      </c>
      <c r="Q12" s="546">
        <v>67.900000000000006</v>
      </c>
      <c r="R12" s="621">
        <v>68.2</v>
      </c>
      <c r="S12" s="547">
        <v>69.8</v>
      </c>
      <c r="T12" s="546">
        <v>70</v>
      </c>
      <c r="U12" s="546">
        <v>70.400000000000006</v>
      </c>
      <c r="V12" s="621">
        <v>70.8</v>
      </c>
      <c r="W12" s="547">
        <v>71.400000000000006</v>
      </c>
      <c r="X12" s="546">
        <v>71.599999999999994</v>
      </c>
      <c r="Y12" s="546">
        <v>72.2</v>
      </c>
      <c r="Z12" s="766">
        <v>72.599999999999994</v>
      </c>
      <c r="AA12" s="547">
        <v>74.599999999999994</v>
      </c>
      <c r="AB12" s="546">
        <v>74.900000000000006</v>
      </c>
      <c r="AC12" s="546">
        <v>75.7</v>
      </c>
      <c r="AD12" s="621">
        <v>76.099999999999994</v>
      </c>
      <c r="AE12" s="547">
        <v>77.7</v>
      </c>
      <c r="AF12" s="546"/>
      <c r="AG12" s="546"/>
      <c r="AH12" s="766"/>
      <c r="AI12" s="774"/>
    </row>
    <row r="13" spans="1:36" ht="20.149999999999999" customHeight="1">
      <c r="A13" s="550" t="s">
        <v>640</v>
      </c>
      <c r="B13" s="550" t="s">
        <v>641</v>
      </c>
      <c r="C13" s="551" t="s">
        <v>642</v>
      </c>
      <c r="D13" s="551" t="s">
        <v>642</v>
      </c>
      <c r="E13" s="551" t="s">
        <v>642</v>
      </c>
      <c r="F13" s="551" t="s">
        <v>642</v>
      </c>
      <c r="G13" s="552">
        <v>7.9000000000000001E-2</v>
      </c>
      <c r="H13" s="551">
        <v>7.6999999999999999E-2</v>
      </c>
      <c r="I13" s="551">
        <v>7.3999999999999996E-2</v>
      </c>
      <c r="J13" s="551">
        <v>7.1999999999999995E-2</v>
      </c>
      <c r="K13" s="553">
        <v>7.1999999999999995E-2</v>
      </c>
      <c r="L13" s="551">
        <v>6.9000000000000006E-2</v>
      </c>
      <c r="M13" s="551">
        <v>6.7000000000000004E-2</v>
      </c>
      <c r="N13" s="551">
        <v>6.9000000000000006E-2</v>
      </c>
      <c r="O13" s="552">
        <v>7.0999999999999994E-2</v>
      </c>
      <c r="P13" s="551">
        <v>7.2999999999999995E-2</v>
      </c>
      <c r="Q13" s="551">
        <v>6.9000000000000006E-2</v>
      </c>
      <c r="R13" s="622">
        <v>6.9000000000000006E-2</v>
      </c>
      <c r="S13" s="552">
        <v>6.8000000000000005E-2</v>
      </c>
      <c r="T13" s="551">
        <v>6.8000000000000005E-2</v>
      </c>
      <c r="U13" s="551">
        <v>6.8000000000000005E-2</v>
      </c>
      <c r="V13" s="622">
        <v>7.0000000000000007E-2</v>
      </c>
      <c r="W13" s="552">
        <v>7.1999999999999995E-2</v>
      </c>
      <c r="X13" s="551">
        <v>7.2999999999999995E-2</v>
      </c>
      <c r="Y13" s="736">
        <v>7.4999999999999997E-2</v>
      </c>
      <c r="Z13" s="622">
        <v>7.5999999999999998E-2</v>
      </c>
      <c r="AA13" s="552">
        <v>7.5999999999999998E-2</v>
      </c>
      <c r="AB13" s="551">
        <v>7.4999999999999997E-2</v>
      </c>
      <c r="AC13" s="551">
        <v>7.1999999999999995E-2</v>
      </c>
      <c r="AD13" s="622">
        <v>7.0000000000000007E-2</v>
      </c>
      <c r="AE13" s="552">
        <v>6.8000000000000005E-2</v>
      </c>
      <c r="AF13" s="551"/>
      <c r="AG13" s="736"/>
      <c r="AH13" s="622"/>
    </row>
    <row r="14" spans="1:36" ht="20.149999999999999" customHeight="1">
      <c r="A14" s="550" t="s">
        <v>643</v>
      </c>
      <c r="B14" s="550" t="s">
        <v>644</v>
      </c>
      <c r="C14" s="554">
        <v>1.98</v>
      </c>
      <c r="D14" s="554">
        <v>2</v>
      </c>
      <c r="E14" s="554">
        <v>2.02</v>
      </c>
      <c r="F14" s="554">
        <v>2.0499999999999998</v>
      </c>
      <c r="G14" s="555">
        <v>2.0699999999999998</v>
      </c>
      <c r="H14" s="554">
        <v>2.08</v>
      </c>
      <c r="I14" s="554">
        <v>2.1</v>
      </c>
      <c r="J14" s="554">
        <v>2.12</v>
      </c>
      <c r="K14" s="556">
        <v>2.13</v>
      </c>
      <c r="L14" s="554">
        <v>2.15</v>
      </c>
      <c r="M14" s="554">
        <v>2.17</v>
      </c>
      <c r="N14" s="554">
        <v>2.19</v>
      </c>
      <c r="O14" s="555">
        <v>2.21</v>
      </c>
      <c r="P14" s="554">
        <v>2.2200000000000002</v>
      </c>
      <c r="Q14" s="554">
        <v>2.2200000000000002</v>
      </c>
      <c r="R14" s="623">
        <v>2.23</v>
      </c>
      <c r="S14" s="555">
        <v>2.23</v>
      </c>
      <c r="T14" s="554">
        <v>2.23</v>
      </c>
      <c r="U14" s="554">
        <v>2.2400000000000002</v>
      </c>
      <c r="V14" s="623">
        <v>2.2400000000000002</v>
      </c>
      <c r="W14" s="555">
        <v>2.2400000000000002</v>
      </c>
      <c r="X14" s="554">
        <v>2.2400000000000002</v>
      </c>
      <c r="Y14" s="735">
        <v>2.2400000000000002</v>
      </c>
      <c r="Z14" s="623">
        <v>2.2599999999999998</v>
      </c>
      <c r="AA14" s="555">
        <v>2.27</v>
      </c>
      <c r="AB14" s="554">
        <v>2.27</v>
      </c>
      <c r="AC14" s="554">
        <v>2.29</v>
      </c>
      <c r="AD14" s="623">
        <v>2.2999999999999998</v>
      </c>
      <c r="AE14" s="555">
        <v>2.3199999999999998</v>
      </c>
      <c r="AF14" s="554"/>
      <c r="AG14" s="735"/>
      <c r="AH14" s="623"/>
    </row>
    <row r="15" spans="1:36" s="531" customFormat="1" ht="20.149999999999999" customHeight="1">
      <c r="A15" s="527" t="s">
        <v>645</v>
      </c>
      <c r="B15" s="527" t="s">
        <v>646</v>
      </c>
      <c r="C15" s="528"/>
      <c r="D15" s="528"/>
      <c r="E15" s="528"/>
      <c r="F15" s="528"/>
      <c r="G15" s="529"/>
      <c r="H15" s="528"/>
      <c r="I15" s="528"/>
      <c r="J15" s="528"/>
      <c r="K15" s="530"/>
      <c r="L15" s="528"/>
      <c r="M15" s="528"/>
      <c r="N15" s="528"/>
      <c r="O15" s="529"/>
      <c r="P15" s="528"/>
      <c r="Q15" s="528"/>
      <c r="R15" s="618"/>
      <c r="S15" s="529"/>
      <c r="T15" s="528"/>
      <c r="U15" s="528"/>
      <c r="V15" s="618"/>
      <c r="W15" s="529"/>
      <c r="X15" s="528"/>
      <c r="Y15" s="734"/>
      <c r="Z15" s="618"/>
      <c r="AA15" s="529"/>
      <c r="AB15" s="528"/>
      <c r="AC15" s="734"/>
      <c r="AD15" s="618"/>
      <c r="AE15" s="529"/>
      <c r="AF15" s="528"/>
      <c r="AG15" s="734"/>
      <c r="AH15" s="618"/>
    </row>
    <row r="16" spans="1:36" s="537" customFormat="1" ht="20.149999999999999" customHeight="1">
      <c r="A16" s="557" t="s">
        <v>647</v>
      </c>
      <c r="B16" s="558" t="s">
        <v>648</v>
      </c>
      <c r="C16" s="534">
        <f t="shared" ref="C16:R16" si="19">SUM(C17:C19)</f>
        <v>2783.2</v>
      </c>
      <c r="D16" s="534">
        <f t="shared" si="19"/>
        <v>2768.7</v>
      </c>
      <c r="E16" s="534">
        <f t="shared" si="19"/>
        <v>2794.2000000000003</v>
      </c>
      <c r="F16" s="534">
        <f t="shared" si="19"/>
        <v>2646.9</v>
      </c>
      <c r="G16" s="535">
        <f t="shared" si="19"/>
        <v>2642.7999999999997</v>
      </c>
      <c r="H16" s="534">
        <f t="shared" si="19"/>
        <v>2607.4</v>
      </c>
      <c r="I16" s="534">
        <f t="shared" si="19"/>
        <v>2678.9</v>
      </c>
      <c r="J16" s="534">
        <f t="shared" si="19"/>
        <v>2657.5</v>
      </c>
      <c r="K16" s="536">
        <f t="shared" si="19"/>
        <v>2638.7000000000003</v>
      </c>
      <c r="L16" s="534">
        <f t="shared" si="19"/>
        <v>2525.1999999999998</v>
      </c>
      <c r="M16" s="534">
        <f t="shared" si="19"/>
        <v>2671.2</v>
      </c>
      <c r="N16" s="534">
        <f t="shared" si="19"/>
        <v>2617.8000000000002</v>
      </c>
      <c r="O16" s="535">
        <f t="shared" si="19"/>
        <v>2736</v>
      </c>
      <c r="P16" s="534">
        <f t="shared" si="19"/>
        <v>2596</v>
      </c>
      <c r="Q16" s="534">
        <f t="shared" si="19"/>
        <v>2773</v>
      </c>
      <c r="R16" s="619">
        <f t="shared" si="19"/>
        <v>2665.6990000000001</v>
      </c>
      <c r="S16" s="535">
        <f t="shared" ref="S16:V16" si="20">SUM(S17:S19)</f>
        <v>2832</v>
      </c>
      <c r="T16" s="534">
        <f t="shared" si="20"/>
        <v>2772</v>
      </c>
      <c r="U16" s="534">
        <f t="shared" si="20"/>
        <v>2832</v>
      </c>
      <c r="V16" s="619">
        <f t="shared" si="20"/>
        <v>2691</v>
      </c>
      <c r="W16" s="535">
        <f t="shared" ref="W16:AD16" si="21">SUM(W17:W19)</f>
        <v>2693</v>
      </c>
      <c r="X16" s="534">
        <f t="shared" si="21"/>
        <v>2656</v>
      </c>
      <c r="Y16" s="534">
        <f t="shared" si="21"/>
        <v>2738</v>
      </c>
      <c r="Z16" s="619">
        <f t="shared" si="21"/>
        <v>2646</v>
      </c>
      <c r="AA16" s="535">
        <f t="shared" si="21"/>
        <v>2624</v>
      </c>
      <c r="AB16" s="534">
        <f t="shared" si="21"/>
        <v>2609</v>
      </c>
      <c r="AC16" s="534">
        <f t="shared" si="21"/>
        <v>2566</v>
      </c>
      <c r="AD16" s="619">
        <f t="shared" si="21"/>
        <v>2468</v>
      </c>
      <c r="AE16" s="535">
        <f t="shared" ref="AE16" si="22">SUM(AE17:AE19)</f>
        <v>2430</v>
      </c>
      <c r="AF16" s="534"/>
      <c r="AG16" s="534"/>
      <c r="AH16" s="619"/>
    </row>
    <row r="17" spans="1:35" s="537" customFormat="1" ht="20.149999999999999" customHeight="1">
      <c r="A17" s="559" t="s">
        <v>649</v>
      </c>
      <c r="B17" s="559" t="s">
        <v>650</v>
      </c>
      <c r="C17" s="560">
        <v>75.2</v>
      </c>
      <c r="D17" s="560">
        <v>59.7</v>
      </c>
      <c r="E17" s="560">
        <v>91.3</v>
      </c>
      <c r="F17" s="560">
        <v>95.7</v>
      </c>
      <c r="G17" s="561">
        <v>144.6</v>
      </c>
      <c r="H17" s="560">
        <v>87.2</v>
      </c>
      <c r="I17" s="560">
        <v>142.9</v>
      </c>
      <c r="J17" s="560">
        <v>161.19999999999999</v>
      </c>
      <c r="K17" s="562">
        <v>172</v>
      </c>
      <c r="L17" s="560">
        <v>93.3</v>
      </c>
      <c r="M17" s="560">
        <v>158.1</v>
      </c>
      <c r="N17" s="560">
        <v>114.4</v>
      </c>
      <c r="O17" s="561">
        <v>225</v>
      </c>
      <c r="P17" s="560">
        <v>135</v>
      </c>
      <c r="Q17" s="560">
        <v>145</v>
      </c>
      <c r="R17" s="624">
        <v>89.698999999999998</v>
      </c>
      <c r="S17" s="561">
        <v>129</v>
      </c>
      <c r="T17" s="560">
        <v>81</v>
      </c>
      <c r="U17" s="560">
        <v>161</v>
      </c>
      <c r="V17" s="624">
        <v>82</v>
      </c>
      <c r="W17" s="561">
        <v>121</v>
      </c>
      <c r="X17" s="540">
        <v>79</v>
      </c>
      <c r="Y17" s="560">
        <v>128</v>
      </c>
      <c r="Z17" s="624">
        <v>98</v>
      </c>
      <c r="AA17" s="561">
        <v>123</v>
      </c>
      <c r="AB17" s="560">
        <v>112</v>
      </c>
      <c r="AC17" s="560">
        <v>86</v>
      </c>
      <c r="AD17" s="624">
        <v>86</v>
      </c>
      <c r="AE17" s="561">
        <v>108</v>
      </c>
      <c r="AF17" s="540"/>
      <c r="AG17" s="560"/>
      <c r="AH17" s="624"/>
    </row>
    <row r="18" spans="1:35" s="537" customFormat="1" ht="20.149999999999999" customHeight="1">
      <c r="A18" s="559" t="s">
        <v>630</v>
      </c>
      <c r="B18" s="559" t="s">
        <v>651</v>
      </c>
      <c r="C18" s="560">
        <v>2539.4</v>
      </c>
      <c r="D18" s="560">
        <v>2545.6999999999998</v>
      </c>
      <c r="E18" s="560">
        <v>2550.4</v>
      </c>
      <c r="F18" s="560">
        <v>2423.8000000000002</v>
      </c>
      <c r="G18" s="561">
        <v>2387.6999999999998</v>
      </c>
      <c r="H18" s="560">
        <v>2418.4</v>
      </c>
      <c r="I18" s="560">
        <v>2443.3000000000002</v>
      </c>
      <c r="J18" s="560">
        <v>2415.8000000000002</v>
      </c>
      <c r="K18" s="562">
        <v>2393.4</v>
      </c>
      <c r="L18" s="560">
        <v>2364.1999999999998</v>
      </c>
      <c r="M18" s="560">
        <v>2449.1999999999998</v>
      </c>
      <c r="N18" s="560">
        <v>2445.9</v>
      </c>
      <c r="O18" s="561">
        <v>2458</v>
      </c>
      <c r="P18" s="560">
        <v>2414</v>
      </c>
      <c r="Q18" s="560">
        <v>2584</v>
      </c>
      <c r="R18" s="624">
        <v>2537</v>
      </c>
      <c r="S18" s="561">
        <v>2666</v>
      </c>
      <c r="T18" s="560">
        <v>2655</v>
      </c>
      <c r="U18" s="560">
        <v>2636</v>
      </c>
      <c r="V18" s="624">
        <v>2578</v>
      </c>
      <c r="W18" s="561">
        <v>2542</v>
      </c>
      <c r="X18" s="540">
        <v>2548</v>
      </c>
      <c r="Y18" s="560">
        <v>2582</v>
      </c>
      <c r="Z18" s="624">
        <v>2522</v>
      </c>
      <c r="AA18" s="561">
        <v>2476</v>
      </c>
      <c r="AB18" s="560">
        <v>2473</v>
      </c>
      <c r="AC18" s="560">
        <v>2456</v>
      </c>
      <c r="AD18" s="624">
        <v>2358</v>
      </c>
      <c r="AE18" s="561">
        <v>2297</v>
      </c>
      <c r="AF18" s="540"/>
      <c r="AG18" s="560"/>
      <c r="AH18" s="624"/>
    </row>
    <row r="19" spans="1:35" s="537" customFormat="1" ht="20.149999999999999" customHeight="1">
      <c r="A19" s="559" t="s">
        <v>652</v>
      </c>
      <c r="B19" s="559" t="s">
        <v>653</v>
      </c>
      <c r="C19" s="560">
        <v>168.6</v>
      </c>
      <c r="D19" s="560">
        <v>163.30000000000001</v>
      </c>
      <c r="E19" s="560">
        <v>152.5</v>
      </c>
      <c r="F19" s="560">
        <v>127.4</v>
      </c>
      <c r="G19" s="561">
        <v>110.5</v>
      </c>
      <c r="H19" s="560">
        <v>101.8</v>
      </c>
      <c r="I19" s="560">
        <v>92.7</v>
      </c>
      <c r="J19" s="560">
        <v>80.5</v>
      </c>
      <c r="K19" s="562">
        <v>73.3</v>
      </c>
      <c r="L19" s="560">
        <v>67.7</v>
      </c>
      <c r="M19" s="560">
        <v>63.9</v>
      </c>
      <c r="N19" s="560">
        <v>57.5</v>
      </c>
      <c r="O19" s="561">
        <v>53</v>
      </c>
      <c r="P19" s="560">
        <v>47</v>
      </c>
      <c r="Q19" s="560">
        <v>44</v>
      </c>
      <c r="R19" s="624">
        <v>39</v>
      </c>
      <c r="S19" s="561">
        <v>37</v>
      </c>
      <c r="T19" s="560">
        <v>36</v>
      </c>
      <c r="U19" s="560">
        <v>35</v>
      </c>
      <c r="V19" s="624">
        <v>31</v>
      </c>
      <c r="W19" s="561">
        <v>30</v>
      </c>
      <c r="X19" s="540">
        <v>29</v>
      </c>
      <c r="Y19" s="560">
        <v>28</v>
      </c>
      <c r="Z19" s="624">
        <v>26</v>
      </c>
      <c r="AA19" s="561">
        <v>25</v>
      </c>
      <c r="AB19" s="560">
        <v>24</v>
      </c>
      <c r="AC19" s="560">
        <v>24</v>
      </c>
      <c r="AD19" s="624">
        <v>24</v>
      </c>
      <c r="AE19" s="561">
        <v>25</v>
      </c>
      <c r="AF19" s="540"/>
      <c r="AG19" s="560"/>
      <c r="AH19" s="624"/>
    </row>
    <row r="20" spans="1:35" s="549" customFormat="1" ht="20.149999999999999" customHeight="1">
      <c r="A20" s="544" t="s">
        <v>654</v>
      </c>
      <c r="B20" s="545" t="s">
        <v>655</v>
      </c>
      <c r="C20" s="546">
        <v>15.1</v>
      </c>
      <c r="D20" s="546">
        <v>15.4</v>
      </c>
      <c r="E20" s="546">
        <v>15.9</v>
      </c>
      <c r="F20" s="546">
        <v>15.2</v>
      </c>
      <c r="G20" s="547">
        <v>15</v>
      </c>
      <c r="H20" s="546">
        <v>15.5</v>
      </c>
      <c r="I20" s="546">
        <v>15.7</v>
      </c>
      <c r="J20" s="546">
        <v>15.2</v>
      </c>
      <c r="K20" s="548">
        <v>15.1</v>
      </c>
      <c r="L20" s="546">
        <v>15.2</v>
      </c>
      <c r="M20" s="546">
        <v>15.9</v>
      </c>
      <c r="N20" s="546">
        <v>15.8</v>
      </c>
      <c r="O20" s="547">
        <v>15.6</v>
      </c>
      <c r="P20" s="546">
        <v>16</v>
      </c>
      <c r="Q20" s="546">
        <v>16.399999999999999</v>
      </c>
      <c r="R20" s="621">
        <v>16.600000000000001</v>
      </c>
      <c r="S20" s="547">
        <v>17.2</v>
      </c>
      <c r="T20" s="546">
        <v>17.399999999999999</v>
      </c>
      <c r="U20" s="546">
        <v>17.899999999999999</v>
      </c>
      <c r="V20" s="621">
        <v>17.399999999999999</v>
      </c>
      <c r="W20" s="547">
        <v>17.100000000000001</v>
      </c>
      <c r="X20" s="546">
        <v>17.8</v>
      </c>
      <c r="Y20" s="546">
        <v>17.899999999999999</v>
      </c>
      <c r="Z20" s="621">
        <v>17.399999999999999</v>
      </c>
      <c r="AA20" s="547">
        <v>17.3</v>
      </c>
      <c r="AB20" s="546">
        <v>18</v>
      </c>
      <c r="AC20" s="546">
        <v>17.8</v>
      </c>
      <c r="AD20" s="621">
        <v>17.3</v>
      </c>
      <c r="AE20" s="547">
        <v>17</v>
      </c>
      <c r="AF20" s="546"/>
      <c r="AG20" s="546"/>
      <c r="AH20" s="621"/>
    </row>
    <row r="21" spans="1:35" s="549" customFormat="1" ht="20.149999999999999" customHeight="1" thickBot="1">
      <c r="A21" s="563" t="s">
        <v>656</v>
      </c>
      <c r="B21" s="564" t="s">
        <v>657</v>
      </c>
      <c r="C21" s="565">
        <v>15.1</v>
      </c>
      <c r="D21" s="565">
        <v>15.3</v>
      </c>
      <c r="E21" s="565">
        <v>15.5</v>
      </c>
      <c r="F21" s="565">
        <v>15.4</v>
      </c>
      <c r="G21" s="566">
        <v>15</v>
      </c>
      <c r="H21" s="565">
        <v>15.3</v>
      </c>
      <c r="I21" s="565">
        <v>15.4</v>
      </c>
      <c r="J21" s="565">
        <v>15.4</v>
      </c>
      <c r="K21" s="567">
        <v>15.1</v>
      </c>
      <c r="L21" s="565">
        <v>15.1</v>
      </c>
      <c r="M21" s="565">
        <v>15.4</v>
      </c>
      <c r="N21" s="565">
        <v>15.5</v>
      </c>
      <c r="O21" s="566">
        <v>15.6</v>
      </c>
      <c r="P21" s="565">
        <v>15.8</v>
      </c>
      <c r="Q21" s="565">
        <v>16</v>
      </c>
      <c r="R21" s="625">
        <v>16.2</v>
      </c>
      <c r="S21" s="566">
        <v>17.2</v>
      </c>
      <c r="T21" s="565">
        <v>17.3</v>
      </c>
      <c r="U21" s="565">
        <v>17.5</v>
      </c>
      <c r="V21" s="625">
        <v>17.5</v>
      </c>
      <c r="W21" s="566">
        <v>17.100000000000001</v>
      </c>
      <c r="X21" s="565">
        <v>17.5</v>
      </c>
      <c r="Y21" s="565">
        <v>17.600000000000001</v>
      </c>
      <c r="Z21" s="625">
        <v>17.600000000000001</v>
      </c>
      <c r="AA21" s="566">
        <v>17.3</v>
      </c>
      <c r="AB21" s="565">
        <v>17.7</v>
      </c>
      <c r="AC21" s="565">
        <v>17.7</v>
      </c>
      <c r="AD21" s="625">
        <v>17.600000000000001</v>
      </c>
      <c r="AE21" s="566">
        <v>17</v>
      </c>
      <c r="AF21" s="565"/>
      <c r="AG21" s="565"/>
      <c r="AH21" s="625"/>
    </row>
    <row r="22" spans="1:35" s="531" customFormat="1" ht="20.149999999999999" customHeight="1">
      <c r="A22" s="527" t="s">
        <v>658</v>
      </c>
      <c r="B22" s="527" t="s">
        <v>659</v>
      </c>
      <c r="C22" s="528"/>
      <c r="D22" s="528"/>
      <c r="E22" s="528"/>
      <c r="F22" s="528"/>
      <c r="G22" s="529"/>
      <c r="H22" s="528"/>
      <c r="I22" s="528"/>
      <c r="J22" s="528"/>
      <c r="K22" s="530"/>
      <c r="L22" s="528"/>
      <c r="M22" s="528"/>
      <c r="N22" s="528"/>
      <c r="O22" s="529"/>
      <c r="P22" s="528"/>
      <c r="Q22" s="528"/>
      <c r="R22" s="618"/>
      <c r="S22" s="529"/>
      <c r="T22" s="528"/>
      <c r="U22" s="528"/>
      <c r="V22" s="618"/>
      <c r="W22" s="529"/>
      <c r="X22" s="528"/>
      <c r="Y22" s="737"/>
      <c r="Z22" s="618"/>
      <c r="AA22" s="529"/>
      <c r="AB22" s="528"/>
      <c r="AC22" s="737"/>
      <c r="AD22" s="618"/>
      <c r="AE22" s="529"/>
      <c r="AF22" s="528"/>
      <c r="AG22" s="737"/>
      <c r="AH22" s="618"/>
    </row>
    <row r="23" spans="1:35" s="549" customFormat="1" ht="20.149999999999999" customHeight="1">
      <c r="A23" s="544" t="s">
        <v>660</v>
      </c>
      <c r="B23" s="545" t="s">
        <v>661</v>
      </c>
      <c r="C23" s="546">
        <v>68.2</v>
      </c>
      <c r="D23" s="546">
        <v>68</v>
      </c>
      <c r="E23" s="546">
        <v>68.099999999999994</v>
      </c>
      <c r="F23" s="546">
        <v>68.2</v>
      </c>
      <c r="G23" s="547">
        <v>68.2</v>
      </c>
      <c r="H23" s="546">
        <v>68.2</v>
      </c>
      <c r="I23" s="546">
        <v>68.400000000000006</v>
      </c>
      <c r="J23" s="546">
        <v>68.7</v>
      </c>
      <c r="K23" s="548">
        <v>68.900000000000006</v>
      </c>
      <c r="L23" s="546">
        <v>68.599999999999994</v>
      </c>
      <c r="M23" s="546">
        <v>68.900000000000006</v>
      </c>
      <c r="N23" s="546">
        <v>69.3</v>
      </c>
      <c r="O23" s="547">
        <v>68.8</v>
      </c>
      <c r="P23" s="546">
        <v>68.3</v>
      </c>
      <c r="Q23" s="546">
        <v>68.8</v>
      </c>
      <c r="R23" s="621">
        <v>68.900000000000006</v>
      </c>
      <c r="S23" s="547">
        <v>68.900000000000006</v>
      </c>
      <c r="T23" s="546">
        <v>68.8</v>
      </c>
      <c r="U23" s="546">
        <v>69.099999999999994</v>
      </c>
      <c r="V23" s="621">
        <v>69.099999999999994</v>
      </c>
      <c r="W23" s="547">
        <v>69.3</v>
      </c>
      <c r="X23" s="546">
        <v>69</v>
      </c>
      <c r="Y23" s="546">
        <v>68.8</v>
      </c>
      <c r="Z23" s="621">
        <v>68.8</v>
      </c>
      <c r="AA23" s="547">
        <v>68.400000000000006</v>
      </c>
      <c r="AB23" s="546">
        <v>68.5</v>
      </c>
      <c r="AC23" s="546">
        <v>68.3</v>
      </c>
      <c r="AD23" s="621">
        <v>68.2</v>
      </c>
      <c r="AE23" s="547">
        <v>68</v>
      </c>
      <c r="AF23" s="546"/>
      <c r="AG23" s="546"/>
      <c r="AH23" s="621"/>
    </row>
    <row r="24" spans="1:35" ht="20.149999999999999" customHeight="1">
      <c r="A24" s="544" t="s">
        <v>662</v>
      </c>
      <c r="B24" s="545" t="s">
        <v>663</v>
      </c>
      <c r="C24" s="560">
        <v>1412.8</v>
      </c>
      <c r="D24" s="560">
        <v>1438.5</v>
      </c>
      <c r="E24" s="560">
        <v>1442.3</v>
      </c>
      <c r="F24" s="560">
        <v>1408.8</v>
      </c>
      <c r="G24" s="561">
        <v>1391.3</v>
      </c>
      <c r="H24" s="560">
        <v>1384.2</v>
      </c>
      <c r="I24" s="560">
        <v>1409.9</v>
      </c>
      <c r="J24" s="560">
        <v>1413.9</v>
      </c>
      <c r="K24" s="562">
        <v>1392.9</v>
      </c>
      <c r="L24" s="560">
        <v>1376.1</v>
      </c>
      <c r="M24" s="560">
        <v>1368.6</v>
      </c>
      <c r="N24" s="560">
        <v>1384.2</v>
      </c>
      <c r="O24" s="561">
        <v>1404</v>
      </c>
      <c r="P24" s="560">
        <v>1387</v>
      </c>
      <c r="Q24" s="560">
        <v>1367</v>
      </c>
      <c r="R24" s="624">
        <v>1403</v>
      </c>
      <c r="S24" s="561">
        <v>1392</v>
      </c>
      <c r="T24" s="560">
        <v>1378</v>
      </c>
      <c r="U24" s="560">
        <v>1425</v>
      </c>
      <c r="V24" s="624">
        <v>1427</v>
      </c>
      <c r="W24" s="561">
        <v>1434</v>
      </c>
      <c r="X24" s="560">
        <v>1463</v>
      </c>
      <c r="Y24" s="560">
        <v>1456</v>
      </c>
      <c r="Z24" s="624">
        <v>1463</v>
      </c>
      <c r="AA24" s="561">
        <v>1490</v>
      </c>
      <c r="AB24" s="560">
        <v>1485</v>
      </c>
      <c r="AC24" s="560">
        <v>1514</v>
      </c>
      <c r="AD24" s="624">
        <v>1530</v>
      </c>
      <c r="AE24" s="561">
        <v>1508</v>
      </c>
      <c r="AF24" s="560"/>
      <c r="AG24" s="560"/>
      <c r="AH24" s="624"/>
      <c r="AI24" s="774"/>
    </row>
    <row r="25" spans="1:35" ht="20.149999999999999" customHeight="1" thickBot="1">
      <c r="A25" s="568" t="s">
        <v>664</v>
      </c>
      <c r="B25" s="569" t="s">
        <v>665</v>
      </c>
      <c r="C25" s="570">
        <v>1412.8</v>
      </c>
      <c r="D25" s="570">
        <v>1425.6</v>
      </c>
      <c r="E25" s="570">
        <v>1431.2</v>
      </c>
      <c r="F25" s="570">
        <v>1425.6</v>
      </c>
      <c r="G25" s="571">
        <v>1391.3</v>
      </c>
      <c r="H25" s="570">
        <v>1387.8</v>
      </c>
      <c r="I25" s="570">
        <v>1395.1</v>
      </c>
      <c r="J25" s="570">
        <v>1399.9</v>
      </c>
      <c r="K25" s="572">
        <v>1392.9</v>
      </c>
      <c r="L25" s="570">
        <v>1384.5</v>
      </c>
      <c r="M25" s="570">
        <v>1379.2</v>
      </c>
      <c r="N25" s="570">
        <v>1380.5</v>
      </c>
      <c r="O25" s="571">
        <v>1404</v>
      </c>
      <c r="P25" s="570">
        <v>1396</v>
      </c>
      <c r="Q25" s="570">
        <v>1386</v>
      </c>
      <c r="R25" s="626">
        <v>1390</v>
      </c>
      <c r="S25" s="571">
        <v>1392</v>
      </c>
      <c r="T25" s="570">
        <v>1385</v>
      </c>
      <c r="U25" s="570">
        <v>1398</v>
      </c>
      <c r="V25" s="626">
        <v>1406</v>
      </c>
      <c r="W25" s="571">
        <v>1434</v>
      </c>
      <c r="X25" s="570">
        <v>1449</v>
      </c>
      <c r="Y25" s="570">
        <v>1451</v>
      </c>
      <c r="Z25" s="626">
        <v>1454</v>
      </c>
      <c r="AA25" s="571">
        <v>1490</v>
      </c>
      <c r="AB25" s="570">
        <v>1487</v>
      </c>
      <c r="AC25" s="570">
        <v>1496</v>
      </c>
      <c r="AD25" s="626">
        <v>1504</v>
      </c>
      <c r="AE25" s="571">
        <v>1508</v>
      </c>
      <c r="AF25" s="570"/>
      <c r="AG25" s="570"/>
      <c r="AH25" s="626"/>
    </row>
    <row r="26" spans="1:35" ht="20.149999999999999" customHeight="1">
      <c r="C26" s="549"/>
      <c r="D26" s="549"/>
      <c r="E26" s="549"/>
      <c r="F26" s="549"/>
      <c r="G26" s="549"/>
      <c r="H26" s="549"/>
      <c r="I26" s="549"/>
      <c r="J26" s="549"/>
      <c r="K26" s="549"/>
      <c r="L26" s="549"/>
      <c r="M26" s="549"/>
      <c r="N26" s="549"/>
      <c r="O26" s="549"/>
      <c r="P26" s="549"/>
      <c r="Q26" s="549"/>
      <c r="S26" s="549"/>
      <c r="T26" s="549"/>
      <c r="U26" s="549"/>
      <c r="W26" s="549"/>
      <c r="X26" s="549"/>
      <c r="Y26" s="549"/>
      <c r="AA26" s="774"/>
      <c r="AB26" s="549"/>
      <c r="AC26" s="549"/>
    </row>
    <row r="27" spans="1:35" ht="60">
      <c r="A27" s="573" t="s">
        <v>666</v>
      </c>
      <c r="B27" s="574" t="s">
        <v>667</v>
      </c>
      <c r="C27" s="575"/>
      <c r="D27" s="575"/>
      <c r="E27" s="575"/>
      <c r="F27" s="575"/>
      <c r="G27" s="575"/>
      <c r="H27" s="575"/>
      <c r="I27" s="575"/>
      <c r="J27" s="575"/>
      <c r="K27" s="575"/>
      <c r="L27" s="575"/>
      <c r="M27" s="575"/>
      <c r="N27" s="575"/>
      <c r="O27" s="575"/>
      <c r="P27" s="575"/>
      <c r="Q27" s="575"/>
      <c r="S27" s="575"/>
      <c r="T27" s="575"/>
      <c r="U27" s="575"/>
      <c r="W27" s="575"/>
      <c r="X27" s="575"/>
      <c r="Y27" s="575"/>
      <c r="AA27" s="575"/>
      <c r="AB27" s="575"/>
      <c r="AC27" s="575"/>
    </row>
    <row r="28" spans="1:35" ht="60">
      <c r="A28" s="573" t="s">
        <v>668</v>
      </c>
      <c r="B28" s="574" t="s">
        <v>669</v>
      </c>
      <c r="C28" s="576"/>
      <c r="D28" s="576"/>
      <c r="E28" s="576"/>
      <c r="F28" s="576"/>
      <c r="G28" s="577"/>
      <c r="H28" s="577"/>
      <c r="I28" s="577"/>
      <c r="J28" s="577"/>
      <c r="K28" s="577"/>
      <c r="L28" s="577"/>
      <c r="M28" s="577"/>
      <c r="N28" s="577"/>
      <c r="O28" s="577"/>
      <c r="P28" s="577"/>
      <c r="Q28" s="649"/>
      <c r="R28" s="649"/>
      <c r="S28" s="650"/>
      <c r="T28" s="651"/>
      <c r="U28" s="577"/>
      <c r="W28" s="650"/>
      <c r="X28" s="651"/>
      <c r="Y28" s="577"/>
      <c r="AA28" s="650"/>
      <c r="AB28" s="651"/>
      <c r="AC28" s="577"/>
    </row>
    <row r="29" spans="1:35" ht="36">
      <c r="A29" s="578" t="s">
        <v>670</v>
      </c>
      <c r="B29" s="574" t="s">
        <v>671</v>
      </c>
      <c r="C29" s="576"/>
      <c r="D29" s="576"/>
      <c r="E29" s="576"/>
      <c r="F29" s="576"/>
      <c r="G29" s="577"/>
      <c r="H29" s="577"/>
      <c r="I29" s="577"/>
      <c r="J29" s="577"/>
      <c r="K29" s="577"/>
      <c r="L29" s="577"/>
      <c r="M29" s="577"/>
      <c r="N29" s="577"/>
      <c r="O29" s="577"/>
      <c r="P29" s="577"/>
      <c r="Q29" s="649"/>
      <c r="S29" s="650"/>
      <c r="T29" s="651"/>
      <c r="U29" s="577"/>
      <c r="W29" s="650"/>
      <c r="X29" s="651"/>
      <c r="Y29" s="577"/>
      <c r="AA29" s="650"/>
      <c r="AB29" s="651"/>
      <c r="AC29" s="577"/>
    </row>
    <row r="30" spans="1:35" ht="132" customHeight="1">
      <c r="A30" s="578" t="s">
        <v>672</v>
      </c>
      <c r="B30" s="574" t="s">
        <v>673</v>
      </c>
      <c r="G30" s="577"/>
      <c r="H30" s="577"/>
      <c r="I30" s="577"/>
      <c r="J30" s="577"/>
      <c r="K30" s="577"/>
      <c r="L30" s="577"/>
      <c r="M30" s="577"/>
      <c r="N30" s="577"/>
      <c r="O30" s="577"/>
      <c r="P30" s="577"/>
      <c r="Q30" s="577"/>
      <c r="S30" s="577"/>
      <c r="T30" s="577"/>
      <c r="U30" s="577"/>
      <c r="W30" s="577"/>
      <c r="X30" s="577"/>
      <c r="Y30" s="577"/>
      <c r="AA30" s="577"/>
      <c r="AB30" s="577"/>
      <c r="AC30" s="577"/>
    </row>
    <row r="31" spans="1:35" ht="36">
      <c r="A31" s="578" t="s">
        <v>674</v>
      </c>
      <c r="B31" s="574" t="s">
        <v>675</v>
      </c>
      <c r="C31" s="576"/>
      <c r="D31" s="576"/>
      <c r="E31" s="576"/>
      <c r="F31" s="576"/>
    </row>
    <row r="32" spans="1:35" ht="12">
      <c r="A32" s="579"/>
      <c r="B32" s="574"/>
    </row>
    <row r="33" ht="20.149999999999999" customHeight="1"/>
    <row r="34" ht="20.149999999999999" customHeight="1"/>
    <row r="35" ht="20.149999999999999" customHeight="1"/>
    <row r="36" ht="20.149999999999999" customHeight="1"/>
    <row r="37" ht="20.149999999999999" customHeight="1"/>
    <row r="38" ht="20.149999999999999" customHeight="1"/>
    <row r="39" ht="20.149999999999999" customHeight="1"/>
    <row r="40" ht="20.149999999999999" customHeight="1"/>
    <row r="41" ht="20.149999999999999" customHeight="1"/>
    <row r="42" ht="20.149999999999999" customHeight="1"/>
    <row r="43" ht="20.149999999999999" customHeight="1"/>
    <row r="44" ht="20.149999999999999" customHeight="1"/>
    <row r="45" ht="20.149999999999999" customHeight="1"/>
    <row r="46" ht="20.149999999999999" customHeight="1"/>
    <row r="47" ht="20.149999999999999" customHeight="1"/>
    <row r="48" ht="20.149999999999999" customHeight="1"/>
    <row r="49" ht="20.149999999999999" customHeight="1"/>
  </sheetData>
  <mergeCells count="9">
    <mergeCell ref="AE3:AH3"/>
    <mergeCell ref="AA3:AD3"/>
    <mergeCell ref="W3:Z3"/>
    <mergeCell ref="S3:V3"/>
    <mergeCell ref="A2:B2"/>
    <mergeCell ref="C3:F3"/>
    <mergeCell ref="G3:J3"/>
    <mergeCell ref="K3:N3"/>
    <mergeCell ref="O3:R3"/>
  </mergeCells>
  <pageMargins left="0.7" right="0.7" top="0.75" bottom="0.75" header="0.3" footer="0.3"/>
  <pageSetup paperSize="9" scale="45"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67"/>
  <sheetViews>
    <sheetView showGridLines="0" zoomScale="80" zoomScaleNormal="80" workbookViewId="0">
      <pane xSplit="2" ySplit="3" topLeftCell="BF4" activePane="bottomRight" state="frozen"/>
      <selection pane="topRight" activeCell="C1" sqref="C1"/>
      <selection pane="bottomLeft" activeCell="A4" sqref="A4"/>
      <selection pane="bottomRight" activeCell="BU8" sqref="BU8"/>
    </sheetView>
  </sheetViews>
  <sheetFormatPr defaultColWidth="9" defaultRowHeight="14.15" outlineLevelCol="1"/>
  <cols>
    <col min="1" max="1" width="1.5703125" style="113" customWidth="1"/>
    <col min="2" max="2" width="35" customWidth="1"/>
    <col min="3" max="3" width="35.0703125" customWidth="1"/>
    <col min="4" max="32" width="3.2109375" hidden="1" customWidth="1"/>
    <col min="33" max="38" width="8.7109375" hidden="1" customWidth="1" outlineLevel="1"/>
    <col min="39" max="40" width="8.7109375" style="113" hidden="1" customWidth="1" outlineLevel="1"/>
    <col min="41" max="44" width="8.7109375" hidden="1" customWidth="1" outlineLevel="1"/>
    <col min="45" max="45" width="6.5703125" hidden="1" customWidth="1" outlineLevel="1"/>
    <col min="46" max="48" width="8.7109375" hidden="1" customWidth="1" outlineLevel="1"/>
    <col min="49" max="49" width="9.2109375" hidden="1" customWidth="1" outlineLevel="1"/>
    <col min="50" max="52" width="8.7109375" hidden="1" customWidth="1" outlineLevel="1"/>
    <col min="53" max="53" width="8.7109375" customWidth="1" collapsed="1"/>
    <col min="54" max="62" width="8.7109375" customWidth="1"/>
    <col min="68" max="68" width="10.5" bestFit="1" customWidth="1"/>
    <col min="69" max="69" width="9.7109375" bestFit="1" customWidth="1"/>
    <col min="70" max="70" width="10.2109375" bestFit="1" customWidth="1"/>
  </cols>
  <sheetData>
    <row r="1" spans="1:74" s="113" customFormat="1" ht="89.25" customHeight="1" thickBot="1">
      <c r="B1" s="2"/>
      <c r="C1" s="2"/>
      <c r="D1" s="318"/>
      <c r="E1" s="318"/>
      <c r="F1" s="318"/>
      <c r="G1" s="318"/>
      <c r="H1" s="318"/>
      <c r="I1" s="318"/>
      <c r="J1" s="318"/>
      <c r="K1" s="318"/>
      <c r="L1" s="318"/>
      <c r="M1" s="318"/>
      <c r="N1" s="318"/>
      <c r="O1" s="318"/>
      <c r="P1" s="318"/>
      <c r="Q1" s="318"/>
      <c r="R1" s="318"/>
      <c r="S1" s="318"/>
      <c r="T1" s="318"/>
      <c r="U1" s="318"/>
      <c r="V1" s="318"/>
      <c r="W1" s="318"/>
      <c r="X1" s="318"/>
      <c r="Y1" s="318"/>
      <c r="Z1" s="318"/>
      <c r="AA1" s="318"/>
      <c r="AB1" s="318"/>
      <c r="AC1" s="318"/>
      <c r="AD1" s="318"/>
      <c r="AE1" s="318"/>
      <c r="AF1" s="318"/>
      <c r="AK1"/>
      <c r="AP1"/>
      <c r="AU1"/>
      <c r="AZ1"/>
      <c r="BE1"/>
      <c r="BJ1"/>
    </row>
    <row r="2" spans="1:74" ht="20.25" customHeight="1" thickBot="1">
      <c r="A2"/>
      <c r="B2" s="990"/>
      <c r="C2" s="990"/>
      <c r="D2" s="984"/>
      <c r="E2" s="985"/>
      <c r="F2" s="985"/>
      <c r="G2" s="986"/>
      <c r="H2" s="984"/>
      <c r="I2" s="985"/>
      <c r="J2" s="985"/>
      <c r="K2" s="985"/>
      <c r="L2" s="986"/>
      <c r="M2" s="984"/>
      <c r="N2" s="985"/>
      <c r="O2" s="985"/>
      <c r="P2" s="985"/>
      <c r="Q2" s="986"/>
      <c r="R2" s="984"/>
      <c r="S2" s="985"/>
      <c r="T2" s="985"/>
      <c r="U2" s="985"/>
      <c r="V2" s="986"/>
      <c r="W2" s="984"/>
      <c r="X2" s="985"/>
      <c r="Y2" s="985"/>
      <c r="Z2" s="985"/>
      <c r="AA2" s="986"/>
      <c r="AB2" s="984"/>
      <c r="AC2" s="985"/>
      <c r="AD2" s="985"/>
      <c r="AE2" s="985"/>
      <c r="AF2" s="986"/>
      <c r="AG2" s="972">
        <v>2018</v>
      </c>
      <c r="AH2" s="973"/>
      <c r="AI2" s="973"/>
      <c r="AJ2" s="973"/>
      <c r="AK2" s="988">
        <v>2018</v>
      </c>
      <c r="AL2" s="972">
        <v>2019</v>
      </c>
      <c r="AM2" s="973"/>
      <c r="AN2" s="973"/>
      <c r="AO2" s="973"/>
      <c r="AP2" s="974">
        <v>2019</v>
      </c>
      <c r="AQ2" s="972">
        <v>2020</v>
      </c>
      <c r="AR2" s="973"/>
      <c r="AS2" s="973"/>
      <c r="AT2" s="973"/>
      <c r="AU2" s="974">
        <v>2020</v>
      </c>
      <c r="AV2" s="972">
        <v>2021</v>
      </c>
      <c r="AW2" s="973"/>
      <c r="AX2" s="973"/>
      <c r="AY2" s="973"/>
      <c r="AZ2" s="974">
        <v>2021</v>
      </c>
      <c r="BA2" s="972">
        <v>2022</v>
      </c>
      <c r="BB2" s="973"/>
      <c r="BC2" s="973"/>
      <c r="BD2" s="973"/>
      <c r="BE2" s="974">
        <v>2022</v>
      </c>
      <c r="BF2" s="972">
        <v>2023</v>
      </c>
      <c r="BG2" s="973"/>
      <c r="BH2" s="973"/>
      <c r="BI2" s="973"/>
      <c r="BJ2" s="974">
        <v>2023</v>
      </c>
      <c r="BK2" s="972">
        <v>2024</v>
      </c>
      <c r="BL2" s="973"/>
      <c r="BM2" s="973"/>
      <c r="BN2" s="973"/>
      <c r="BO2" s="974">
        <v>2024</v>
      </c>
      <c r="BP2" s="972">
        <v>2025</v>
      </c>
      <c r="BQ2" s="973"/>
      <c r="BR2" s="973"/>
      <c r="BS2" s="973"/>
      <c r="BT2" s="974">
        <v>2025</v>
      </c>
    </row>
    <row r="3" spans="1:74" s="315" customFormat="1" ht="20.25" customHeight="1" thickBot="1">
      <c r="B3" s="991"/>
      <c r="C3" s="991"/>
      <c r="D3" s="316"/>
      <c r="E3" s="317"/>
      <c r="F3" s="317"/>
      <c r="G3" s="987"/>
      <c r="H3" s="316"/>
      <c r="I3" s="317"/>
      <c r="J3" s="317"/>
      <c r="K3" s="317"/>
      <c r="L3" s="987"/>
      <c r="M3" s="316"/>
      <c r="N3" s="317"/>
      <c r="O3" s="317"/>
      <c r="P3" s="317"/>
      <c r="Q3" s="987"/>
      <c r="R3" s="316"/>
      <c r="S3" s="317"/>
      <c r="T3" s="317"/>
      <c r="U3" s="317"/>
      <c r="V3" s="987"/>
      <c r="W3" s="316"/>
      <c r="X3" s="317"/>
      <c r="Y3" s="317"/>
      <c r="Z3" s="317"/>
      <c r="AA3" s="987"/>
      <c r="AB3" s="316"/>
      <c r="AC3" s="317"/>
      <c r="AD3" s="317"/>
      <c r="AE3" s="317"/>
      <c r="AF3" s="987"/>
      <c r="AG3" s="332" t="s">
        <v>620</v>
      </c>
      <c r="AH3" s="333" t="s">
        <v>621</v>
      </c>
      <c r="AI3" s="333" t="s">
        <v>622</v>
      </c>
      <c r="AJ3" s="333" t="s">
        <v>623</v>
      </c>
      <c r="AK3" s="989"/>
      <c r="AL3" s="332" t="s">
        <v>620</v>
      </c>
      <c r="AM3" s="333" t="s">
        <v>621</v>
      </c>
      <c r="AN3" s="333" t="s">
        <v>622</v>
      </c>
      <c r="AO3" s="333" t="s">
        <v>623</v>
      </c>
      <c r="AP3" s="975"/>
      <c r="AQ3" s="332" t="s">
        <v>620</v>
      </c>
      <c r="AR3" s="333" t="s">
        <v>621</v>
      </c>
      <c r="AS3" s="333" t="s">
        <v>622</v>
      </c>
      <c r="AT3" s="333" t="s">
        <v>623</v>
      </c>
      <c r="AU3" s="975"/>
      <c r="AV3" s="332" t="s">
        <v>620</v>
      </c>
      <c r="AW3" s="333" t="s">
        <v>621</v>
      </c>
      <c r="AX3" s="333" t="s">
        <v>622</v>
      </c>
      <c r="AY3" s="333" t="s">
        <v>623</v>
      </c>
      <c r="AZ3" s="975"/>
      <c r="BA3" s="332" t="s">
        <v>620</v>
      </c>
      <c r="BB3" s="333" t="s">
        <v>621</v>
      </c>
      <c r="BC3" s="333" t="s">
        <v>622</v>
      </c>
      <c r="BD3" s="333" t="s">
        <v>623</v>
      </c>
      <c r="BE3" s="975"/>
      <c r="BF3" s="332" t="s">
        <v>620</v>
      </c>
      <c r="BG3" s="333" t="s">
        <v>621</v>
      </c>
      <c r="BH3" s="333" t="s">
        <v>622</v>
      </c>
      <c r="BI3" s="333" t="s">
        <v>623</v>
      </c>
      <c r="BJ3" s="975"/>
      <c r="BK3" s="332" t="s">
        <v>620</v>
      </c>
      <c r="BL3" s="333" t="s">
        <v>621</v>
      </c>
      <c r="BM3" s="333" t="s">
        <v>622</v>
      </c>
      <c r="BN3" s="333" t="s">
        <v>623</v>
      </c>
      <c r="BO3" s="975"/>
      <c r="BP3" s="332" t="s">
        <v>620</v>
      </c>
      <c r="BQ3" s="333" t="s">
        <v>621</v>
      </c>
      <c r="BR3" s="333" t="s">
        <v>622</v>
      </c>
      <c r="BS3" s="333" t="s">
        <v>623</v>
      </c>
      <c r="BT3" s="975"/>
    </row>
    <row r="4" spans="1:74" ht="20.25" customHeight="1" thickBot="1">
      <c r="A4"/>
      <c r="B4" s="336" t="s">
        <v>676</v>
      </c>
      <c r="C4" s="337" t="s">
        <v>677</v>
      </c>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c r="AE4" s="337"/>
      <c r="AF4" s="337"/>
      <c r="AG4" s="338"/>
      <c r="AH4" s="338"/>
      <c r="AI4" s="338"/>
      <c r="AJ4" s="338"/>
      <c r="AK4" s="452"/>
      <c r="AL4" s="338"/>
      <c r="AM4" s="338"/>
      <c r="AN4" s="338"/>
      <c r="AO4" s="338"/>
      <c r="AP4" s="452"/>
      <c r="AQ4" s="338"/>
      <c r="AR4" s="338"/>
      <c r="AS4" s="338"/>
      <c r="AT4" s="338"/>
      <c r="AU4" s="452"/>
      <c r="AV4" s="338"/>
      <c r="AW4" s="338"/>
      <c r="AX4" s="338"/>
      <c r="AY4" s="338"/>
      <c r="AZ4" s="452"/>
      <c r="BA4" s="338"/>
      <c r="BB4" s="338"/>
      <c r="BC4" s="338"/>
      <c r="BD4" s="338"/>
      <c r="BE4" s="452"/>
      <c r="BF4" s="338"/>
      <c r="BG4" s="338"/>
      <c r="BH4" s="338"/>
      <c r="BI4" s="338"/>
      <c r="BJ4" s="452"/>
      <c r="BK4" s="338"/>
      <c r="BL4" s="338"/>
      <c r="BM4" s="338"/>
      <c r="BN4" s="338"/>
      <c r="BO4" s="452"/>
      <c r="BP4" s="338"/>
      <c r="BQ4" s="338"/>
      <c r="BR4" s="338"/>
      <c r="BS4" s="338"/>
      <c r="BT4" s="452"/>
    </row>
    <row r="5" spans="1:74" ht="25.5" customHeight="1" thickBot="1">
      <c r="A5"/>
      <c r="B5" s="339" t="s">
        <v>678</v>
      </c>
      <c r="C5" s="339" t="s">
        <v>679</v>
      </c>
      <c r="D5" s="340"/>
      <c r="E5" s="340"/>
      <c r="F5" s="341"/>
      <c r="G5" s="342"/>
      <c r="H5" s="340"/>
      <c r="I5" s="340"/>
      <c r="J5" s="340"/>
      <c r="K5" s="341"/>
      <c r="L5" s="342"/>
      <c r="M5" s="340"/>
      <c r="N5" s="340"/>
      <c r="O5" s="340"/>
      <c r="P5" s="341"/>
      <c r="Q5" s="342"/>
      <c r="R5" s="340"/>
      <c r="S5" s="340"/>
      <c r="T5" s="340"/>
      <c r="U5" s="341"/>
      <c r="V5" s="342"/>
      <c r="W5" s="340"/>
      <c r="X5" s="340"/>
      <c r="Y5" s="340"/>
      <c r="Z5" s="341"/>
      <c r="AA5" s="342"/>
      <c r="AB5" s="340"/>
      <c r="AC5" s="340"/>
      <c r="AD5" s="340"/>
      <c r="AE5" s="341"/>
      <c r="AF5" s="342"/>
      <c r="AG5" s="343">
        <v>0.2392</v>
      </c>
      <c r="AH5" s="340">
        <v>0.24160000000000001</v>
      </c>
      <c r="AI5" s="340">
        <v>0.25054333360988129</v>
      </c>
      <c r="AJ5" s="340">
        <v>0.24169975469679564</v>
      </c>
      <c r="AK5" s="453">
        <v>0.24299999999999999</v>
      </c>
      <c r="AL5" s="343">
        <v>0.23364792536680987</v>
      </c>
      <c r="AM5" s="340">
        <v>0.24935000000000002</v>
      </c>
      <c r="AN5" s="340">
        <v>0.24822427628137333</v>
      </c>
      <c r="AO5" s="340">
        <v>0.24182527254608499</v>
      </c>
      <c r="AP5" s="453">
        <v>0.2429</v>
      </c>
      <c r="AQ5" s="343">
        <v>0.23250381468797382</v>
      </c>
      <c r="AR5" s="340">
        <v>0.23040912825290802</v>
      </c>
      <c r="AS5" s="340">
        <v>0.24614294127335679</v>
      </c>
      <c r="AT5" s="341">
        <v>0.24959999999999999</v>
      </c>
      <c r="AU5" s="453">
        <v>0.2394</v>
      </c>
      <c r="AV5" s="340">
        <v>0.24402895821124099</v>
      </c>
      <c r="AW5" s="340">
        <v>0.25085533390902925</v>
      </c>
      <c r="AX5" s="340">
        <v>0.24971187343000292</v>
      </c>
      <c r="AY5" s="341">
        <v>0.24015232926794333</v>
      </c>
      <c r="AZ5" s="453">
        <v>0.2457</v>
      </c>
      <c r="BA5" s="340">
        <v>0.23194245292240989</v>
      </c>
      <c r="BB5" s="340">
        <v>0.22814234798524977</v>
      </c>
      <c r="BC5" s="340">
        <v>0.22469900811855634</v>
      </c>
      <c r="BD5" s="341">
        <v>0.21629999999999999</v>
      </c>
      <c r="BE5" s="453">
        <v>0.2253</v>
      </c>
      <c r="BF5" s="340">
        <v>0.2185</v>
      </c>
      <c r="BG5" s="340">
        <v>0.21959999999999999</v>
      </c>
      <c r="BH5" s="340">
        <v>0.22220400000000001</v>
      </c>
      <c r="BI5" s="341">
        <v>0.22</v>
      </c>
      <c r="BJ5" s="453">
        <v>0.22</v>
      </c>
      <c r="BK5" s="340">
        <v>0.21529999999999999</v>
      </c>
      <c r="BL5" s="340">
        <v>0.22040000000000001</v>
      </c>
      <c r="BM5" s="340">
        <v>0.21709999999999999</v>
      </c>
      <c r="BN5" s="341">
        <v>0.2271</v>
      </c>
      <c r="BO5" s="453">
        <v>0.21997499999999998</v>
      </c>
      <c r="BP5" s="340">
        <v>0.22140000000000001</v>
      </c>
      <c r="BQ5" s="340"/>
      <c r="BR5" s="340"/>
      <c r="BS5" s="341"/>
      <c r="BT5" s="453"/>
    </row>
    <row r="6" spans="1:74" s="718" customFormat="1" ht="25.5" customHeight="1">
      <c r="A6" s="785"/>
      <c r="B6" s="165" t="s">
        <v>680</v>
      </c>
      <c r="C6" s="165" t="s">
        <v>681</v>
      </c>
      <c r="D6" s="118"/>
      <c r="E6" s="118"/>
      <c r="F6" s="114"/>
      <c r="G6" s="320"/>
      <c r="H6" s="118"/>
      <c r="I6" s="118"/>
      <c r="J6" s="118"/>
      <c r="K6" s="114"/>
      <c r="L6" s="320"/>
      <c r="M6" s="118"/>
      <c r="N6" s="118"/>
      <c r="O6" s="118"/>
      <c r="P6" s="114"/>
      <c r="Q6" s="320"/>
      <c r="R6" s="118"/>
      <c r="S6" s="118"/>
      <c r="T6" s="118"/>
      <c r="U6" s="114"/>
      <c r="V6" s="320"/>
      <c r="W6" s="118"/>
      <c r="X6" s="118"/>
      <c r="Y6" s="118"/>
      <c r="Z6" s="114"/>
      <c r="AA6" s="320"/>
      <c r="AB6" s="118"/>
      <c r="AC6" s="118"/>
      <c r="AD6" s="118"/>
      <c r="AE6" s="114"/>
      <c r="AF6" s="320"/>
      <c r="AG6" s="119">
        <v>0.1187</v>
      </c>
      <c r="AH6" s="118">
        <v>0.1114</v>
      </c>
      <c r="AI6" s="118">
        <v>0.1133</v>
      </c>
      <c r="AJ6" s="118">
        <v>0.11070000000000001</v>
      </c>
      <c r="AK6" s="454">
        <v>0.1137</v>
      </c>
      <c r="AL6" s="119">
        <v>0.112</v>
      </c>
      <c r="AM6" s="118">
        <v>0.1138</v>
      </c>
      <c r="AN6" s="118">
        <v>0.1099</v>
      </c>
      <c r="AO6" s="118">
        <v>0.1043</v>
      </c>
      <c r="AP6" s="454">
        <v>0.1099</v>
      </c>
      <c r="AQ6" s="119">
        <v>9.9000000000000005E-2</v>
      </c>
      <c r="AR6" s="118">
        <v>9.1800000000000007E-2</v>
      </c>
      <c r="AS6" s="118">
        <v>9.3799999999999994E-2</v>
      </c>
      <c r="AT6" s="166">
        <v>9.5500000000000002E-2</v>
      </c>
      <c r="AU6" s="454">
        <v>9.5100000000000004E-2</v>
      </c>
      <c r="AV6" s="118">
        <v>9.2155000000000001E-2</v>
      </c>
      <c r="AW6" s="118">
        <v>8.9494000000000004E-2</v>
      </c>
      <c r="AX6" s="118">
        <v>8.7143507332248127E-2</v>
      </c>
      <c r="AY6" s="166">
        <v>8.8921403903550189E-2</v>
      </c>
      <c r="AZ6" s="454">
        <v>8.9530308836228353E-2</v>
      </c>
      <c r="BA6" s="118">
        <v>8.3168000000000006E-2</v>
      </c>
      <c r="BB6" s="118">
        <v>7.6904E-2</v>
      </c>
      <c r="BC6" s="118">
        <v>7.5086E-2</v>
      </c>
      <c r="BD6" s="166">
        <v>7.8100000000000003E-2</v>
      </c>
      <c r="BE6" s="454">
        <v>7.8522999999999996E-2</v>
      </c>
      <c r="BF6" s="118">
        <v>7.9980999999999997E-2</v>
      </c>
      <c r="BG6" s="118">
        <v>7.7648999999999996E-2</v>
      </c>
      <c r="BH6" s="118">
        <v>7.1568999999999994E-2</v>
      </c>
      <c r="BI6" s="166">
        <v>7.4999999999999997E-2</v>
      </c>
      <c r="BJ6" s="454">
        <v>7.6100000000000001E-2</v>
      </c>
      <c r="BK6" s="118">
        <v>7.0999999999999994E-2</v>
      </c>
      <c r="BL6" s="118">
        <v>7.0499999999999993E-2</v>
      </c>
      <c r="BM6" s="118">
        <v>6.7185999999999996E-2</v>
      </c>
      <c r="BN6" s="166">
        <v>7.5399999999999995E-2</v>
      </c>
      <c r="BO6" s="454">
        <v>7.1099999999999997E-2</v>
      </c>
      <c r="BP6" s="118">
        <v>7.5200000000000003E-2</v>
      </c>
      <c r="BQ6" s="118"/>
      <c r="BR6" s="118"/>
      <c r="BS6" s="166"/>
      <c r="BT6" s="454"/>
    </row>
    <row r="7" spans="1:74" s="718" customFormat="1" ht="25.5" customHeight="1">
      <c r="A7" s="785"/>
      <c r="B7" s="165" t="s">
        <v>682</v>
      </c>
      <c r="C7" s="167" t="s">
        <v>683</v>
      </c>
      <c r="D7" s="118"/>
      <c r="E7" s="118"/>
      <c r="F7" s="166"/>
      <c r="G7" s="320"/>
      <c r="H7" s="118"/>
      <c r="I7" s="118"/>
      <c r="J7" s="118"/>
      <c r="K7" s="166"/>
      <c r="L7" s="320"/>
      <c r="M7" s="118"/>
      <c r="N7" s="118"/>
      <c r="O7" s="118"/>
      <c r="P7" s="166"/>
      <c r="Q7" s="320"/>
      <c r="R7" s="118"/>
      <c r="S7" s="118"/>
      <c r="T7" s="118"/>
      <c r="U7" s="166"/>
      <c r="V7" s="320"/>
      <c r="W7" s="118"/>
      <c r="X7" s="118"/>
      <c r="Y7" s="118"/>
      <c r="Z7" s="166"/>
      <c r="AA7" s="320"/>
      <c r="AB7" s="118"/>
      <c r="AC7" s="118"/>
      <c r="AD7" s="118"/>
      <c r="AE7" s="166"/>
      <c r="AF7" s="320"/>
      <c r="AG7" s="119">
        <v>0.1205</v>
      </c>
      <c r="AH7" s="118">
        <v>0.13009999999999999</v>
      </c>
      <c r="AI7" s="118">
        <v>0.13726561528746634</v>
      </c>
      <c r="AJ7" s="118">
        <v>0.13099975469679564</v>
      </c>
      <c r="AK7" s="455">
        <v>0.12939999999999999</v>
      </c>
      <c r="AL7" s="119">
        <v>0.1216</v>
      </c>
      <c r="AM7" s="118">
        <v>0.13550000000000001</v>
      </c>
      <c r="AN7" s="118">
        <v>0.13844127269311104</v>
      </c>
      <c r="AO7" s="118">
        <v>0.13762187191363667</v>
      </c>
      <c r="AP7" s="455">
        <v>0.13300000000000001</v>
      </c>
      <c r="AQ7" s="119">
        <v>0.13355841310577754</v>
      </c>
      <c r="AR7" s="118">
        <v>0.13863586912018128</v>
      </c>
      <c r="AS7" s="118">
        <v>0.15230242840291572</v>
      </c>
      <c r="AT7" s="166">
        <v>0.15409999999999999</v>
      </c>
      <c r="AU7" s="455">
        <v>0.14419999999999999</v>
      </c>
      <c r="AV7" s="118">
        <v>0.15187354531355715</v>
      </c>
      <c r="AW7" s="118">
        <v>0.16135533390902926</v>
      </c>
      <c r="AX7" s="118">
        <v>0.16261187343000294</v>
      </c>
      <c r="AY7" s="166">
        <v>0.15123092536439314</v>
      </c>
      <c r="AZ7" s="455">
        <v>0.15635797009177527</v>
      </c>
      <c r="BA7" s="118">
        <v>0.14877267548397363</v>
      </c>
      <c r="BB7" s="118">
        <v>0.15123834798524977</v>
      </c>
      <c r="BC7" s="118">
        <v>0.149613</v>
      </c>
      <c r="BD7" s="166">
        <v>0.13819999999999999</v>
      </c>
      <c r="BE7" s="455">
        <v>0.14677699999999999</v>
      </c>
      <c r="BF7" s="118">
        <v>0.138519</v>
      </c>
      <c r="BG7" s="118">
        <v>0.14195099999999999</v>
      </c>
      <c r="BH7" s="118">
        <v>0.15063500000000002</v>
      </c>
      <c r="BI7" s="166">
        <v>0.14499999999999999</v>
      </c>
      <c r="BJ7" s="455">
        <v>0.1439</v>
      </c>
      <c r="BK7" s="118">
        <v>0.14429999999999998</v>
      </c>
      <c r="BL7" s="118">
        <v>0.14990000000000001</v>
      </c>
      <c r="BM7" s="118">
        <v>0.14991399999999999</v>
      </c>
      <c r="BN7" s="166">
        <v>0.1517</v>
      </c>
      <c r="BO7" s="455">
        <v>0.1489</v>
      </c>
      <c r="BP7" s="118">
        <v>0.1462</v>
      </c>
      <c r="BQ7" s="118"/>
      <c r="BR7" s="118"/>
      <c r="BS7" s="166"/>
      <c r="BT7" s="455"/>
    </row>
    <row r="8" spans="1:74" s="115" customFormat="1" ht="25.5" customHeight="1">
      <c r="B8" s="116" t="s">
        <v>684</v>
      </c>
      <c r="C8" s="116" t="s">
        <v>685</v>
      </c>
      <c r="D8" s="321"/>
      <c r="E8" s="321"/>
      <c r="F8" s="117"/>
      <c r="G8" s="322"/>
      <c r="H8" s="321"/>
      <c r="I8" s="321"/>
      <c r="J8" s="321"/>
      <c r="K8" s="117"/>
      <c r="L8" s="322"/>
      <c r="M8" s="321"/>
      <c r="N8" s="321"/>
      <c r="O8" s="321"/>
      <c r="P8" s="117"/>
      <c r="Q8" s="322"/>
      <c r="R8" s="321"/>
      <c r="S8" s="321"/>
      <c r="T8" s="321"/>
      <c r="U8" s="117"/>
      <c r="V8" s="322"/>
      <c r="W8" s="321"/>
      <c r="X8" s="321"/>
      <c r="Y8" s="321"/>
      <c r="Z8" s="117"/>
      <c r="AA8" s="322"/>
      <c r="AB8" s="321"/>
      <c r="AC8" s="321"/>
      <c r="AD8" s="321"/>
      <c r="AE8" s="117"/>
      <c r="AF8" s="322"/>
      <c r="AG8" s="118">
        <v>0.27055000000000001</v>
      </c>
      <c r="AH8" s="118">
        <v>0.26307285482727094</v>
      </c>
      <c r="AI8" s="118">
        <v>0.27107489405369956</v>
      </c>
      <c r="AJ8" s="118">
        <v>0.2799015081566204</v>
      </c>
      <c r="AK8" s="455">
        <v>0.27143265306764186</v>
      </c>
      <c r="AL8" s="119">
        <v>0.27277595774888108</v>
      </c>
      <c r="AM8" s="119">
        <v>0.26956701442344921</v>
      </c>
      <c r="AN8" s="119">
        <v>0.25968869690122404</v>
      </c>
      <c r="AO8" s="119">
        <v>0.26098146875847023</v>
      </c>
      <c r="AP8" s="455">
        <v>0.2659147690729412</v>
      </c>
      <c r="AQ8" s="119">
        <v>0.2642789018622998</v>
      </c>
      <c r="AR8" s="119">
        <v>0.27327354861641062</v>
      </c>
      <c r="AS8" s="119">
        <v>0.25869999999999999</v>
      </c>
      <c r="AT8" s="119">
        <v>0.26550000000000001</v>
      </c>
      <c r="AU8" s="455">
        <v>0.26569999999999999</v>
      </c>
      <c r="AV8" s="118">
        <v>0.24552122777620281</v>
      </c>
      <c r="AW8" s="119">
        <v>0.24025279408748573</v>
      </c>
      <c r="AX8" s="119">
        <v>0.24019199288108664</v>
      </c>
      <c r="AY8" s="119">
        <v>0.24716767238182133</v>
      </c>
      <c r="AZ8" s="455">
        <v>0.24349999999999999</v>
      </c>
      <c r="BA8" s="118">
        <v>0.24870403561745946</v>
      </c>
      <c r="BB8" s="118">
        <v>0.24280764993354145</v>
      </c>
      <c r="BC8" s="118">
        <v>0.23386599999999999</v>
      </c>
      <c r="BD8" s="118">
        <v>0.22439999999999999</v>
      </c>
      <c r="BE8" s="455">
        <v>0.23760000000000001</v>
      </c>
      <c r="BF8" s="118">
        <v>0.2334</v>
      </c>
      <c r="BG8" s="118">
        <v>0.2346</v>
      </c>
      <c r="BH8" s="118">
        <v>0.23289399999999999</v>
      </c>
      <c r="BI8" s="118">
        <v>0.23769999999999999</v>
      </c>
      <c r="BJ8" s="455">
        <v>0.23469999999999999</v>
      </c>
      <c r="BK8" s="118">
        <v>0.24160000000000001</v>
      </c>
      <c r="BL8" s="118">
        <v>0.22989999999999999</v>
      </c>
      <c r="BM8" s="118">
        <v>0.23089999999999999</v>
      </c>
      <c r="BN8" s="118">
        <v>0.218</v>
      </c>
      <c r="BO8" s="455">
        <v>0.2301</v>
      </c>
      <c r="BP8" s="118">
        <v>0.2205</v>
      </c>
      <c r="BQ8" s="118"/>
      <c r="BR8" s="118"/>
      <c r="BS8" s="118"/>
      <c r="BT8" s="455"/>
    </row>
    <row r="9" spans="1:74" s="115" customFormat="1" ht="25.5" customHeight="1" thickBot="1">
      <c r="B9" s="116" t="s">
        <v>686</v>
      </c>
      <c r="C9" s="116" t="s">
        <v>687</v>
      </c>
      <c r="D9" s="321"/>
      <c r="E9" s="321"/>
      <c r="F9" s="117"/>
      <c r="G9" s="322"/>
      <c r="H9" s="321"/>
      <c r="I9" s="321"/>
      <c r="J9" s="321"/>
      <c r="K9" s="117"/>
      <c r="L9" s="322"/>
      <c r="M9" s="321"/>
      <c r="N9" s="321"/>
      <c r="O9" s="321"/>
      <c r="P9" s="117"/>
      <c r="Q9" s="322"/>
      <c r="R9" s="321"/>
      <c r="S9" s="321"/>
      <c r="T9" s="321"/>
      <c r="U9" s="117"/>
      <c r="V9" s="322"/>
      <c r="W9" s="321"/>
      <c r="X9" s="321"/>
      <c r="Y9" s="321"/>
      <c r="Z9" s="117"/>
      <c r="AA9" s="322"/>
      <c r="AB9" s="321"/>
      <c r="AC9" s="321"/>
      <c r="AD9" s="321"/>
      <c r="AE9" s="117"/>
      <c r="AF9" s="322"/>
      <c r="AG9" s="118">
        <v>0.21878</v>
      </c>
      <c r="AH9" s="118">
        <v>0.22343613004529736</v>
      </c>
      <c r="AI9" s="118">
        <v>0.20803558567084823</v>
      </c>
      <c r="AJ9" s="118">
        <v>0.20762155694075871</v>
      </c>
      <c r="AK9" s="456">
        <v>0.21439941200856841</v>
      </c>
      <c r="AL9" s="119">
        <v>0.21973490554611111</v>
      </c>
      <c r="AM9" s="119">
        <v>0.20743316354782532</v>
      </c>
      <c r="AN9" s="119">
        <v>0.21547125280795693</v>
      </c>
      <c r="AO9" s="119">
        <v>0.21739933081273113</v>
      </c>
      <c r="AP9" s="456">
        <v>0.21521707371036924</v>
      </c>
      <c r="AQ9" s="119">
        <v>0.21964706993225061</v>
      </c>
      <c r="AR9" s="119">
        <v>0.19273450590189634</v>
      </c>
      <c r="AS9" s="119">
        <v>0.19040000000000001</v>
      </c>
      <c r="AT9" s="119">
        <v>0.19350000000000001</v>
      </c>
      <c r="AU9" s="456">
        <v>0.19969999999999999</v>
      </c>
      <c r="AV9" s="118">
        <v>0.2145969192163136</v>
      </c>
      <c r="AW9" s="119">
        <v>0.21298580449377358</v>
      </c>
      <c r="AX9" s="119">
        <v>0.21154341175910182</v>
      </c>
      <c r="AY9" s="119">
        <v>0.21409536596163978</v>
      </c>
      <c r="AZ9" s="456">
        <v>0.21340000000000001</v>
      </c>
      <c r="BA9" s="118">
        <v>0.20908218103661699</v>
      </c>
      <c r="BB9" s="118">
        <v>0.20999839993245734</v>
      </c>
      <c r="BC9" s="118">
        <v>0.22115899999999999</v>
      </c>
      <c r="BD9" s="118">
        <v>0.23910000000000001</v>
      </c>
      <c r="BE9" s="456">
        <v>0.2198</v>
      </c>
      <c r="BF9" s="118">
        <v>0.2049</v>
      </c>
      <c r="BG9" s="118">
        <v>0.19850000000000001</v>
      </c>
      <c r="BH9" s="118">
        <v>0.20371600000000001</v>
      </c>
      <c r="BI9" s="118">
        <v>0.1893</v>
      </c>
      <c r="BJ9" s="456">
        <v>0.19889999999999999</v>
      </c>
      <c r="BK9" s="118">
        <v>0.1643</v>
      </c>
      <c r="BL9" s="118">
        <v>0.18279999999999999</v>
      </c>
      <c r="BM9" s="118">
        <v>0.18590000000000001</v>
      </c>
      <c r="BN9" s="118">
        <v>0.161</v>
      </c>
      <c r="BO9" s="456">
        <v>0.1729</v>
      </c>
      <c r="BP9" s="118">
        <v>0.16089999999999999</v>
      </c>
      <c r="BQ9" s="118"/>
      <c r="BR9" s="118"/>
      <c r="BS9" s="118"/>
      <c r="BT9" s="456"/>
    </row>
    <row r="10" spans="1:74" ht="20.25" customHeight="1">
      <c r="A10"/>
      <c r="B10" s="331" t="s">
        <v>688</v>
      </c>
      <c r="C10" s="319" t="s">
        <v>689</v>
      </c>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29"/>
      <c r="AH10" s="329"/>
      <c r="AI10" s="329"/>
      <c r="AJ10" s="329"/>
      <c r="AK10" s="457"/>
      <c r="AL10" s="329"/>
      <c r="AM10" s="329"/>
      <c r="AN10" s="329"/>
      <c r="AO10" s="329"/>
      <c r="AP10" s="457"/>
      <c r="AQ10" s="329"/>
      <c r="AR10" s="329"/>
      <c r="AS10" s="329"/>
      <c r="AT10" s="329"/>
      <c r="AU10" s="457"/>
      <c r="AV10" s="329"/>
      <c r="AW10" s="329"/>
      <c r="AX10" s="329"/>
      <c r="AY10" s="329"/>
      <c r="AZ10" s="457"/>
      <c r="BA10" s="329"/>
      <c r="BB10" s="329"/>
      <c r="BC10" s="329"/>
      <c r="BD10" s="329"/>
      <c r="BE10" s="457"/>
      <c r="BF10" s="329"/>
      <c r="BG10" s="329"/>
      <c r="BH10" s="329"/>
      <c r="BI10" s="329"/>
      <c r="BJ10" s="457"/>
      <c r="BK10" s="329"/>
      <c r="BL10" s="329"/>
      <c r="BM10" s="329"/>
      <c r="BN10" s="329"/>
      <c r="BO10" s="457"/>
      <c r="BP10" s="329"/>
      <c r="BQ10" s="329"/>
      <c r="BR10" s="329"/>
      <c r="BS10" s="329"/>
      <c r="BT10" s="457"/>
    </row>
    <row r="11" spans="1:74" ht="31.3" thickBot="1">
      <c r="A11"/>
      <c r="B11" s="580" t="s">
        <v>690</v>
      </c>
      <c r="C11" s="580" t="s">
        <v>691</v>
      </c>
      <c r="D11" s="121"/>
      <c r="E11" s="121"/>
      <c r="F11" s="122"/>
      <c r="G11" s="581"/>
      <c r="H11" s="121"/>
      <c r="I11" s="121"/>
      <c r="J11" s="121"/>
      <c r="K11" s="122"/>
      <c r="L11" s="581"/>
      <c r="M11" s="121"/>
      <c r="N11" s="121"/>
      <c r="O11" s="121"/>
      <c r="P11" s="122"/>
      <c r="Q11" s="581"/>
      <c r="R11" s="121"/>
      <c r="S11" s="121"/>
      <c r="T11" s="121"/>
      <c r="U11" s="122"/>
      <c r="V11" s="581"/>
      <c r="W11" s="121"/>
      <c r="X11" s="121"/>
      <c r="Y11" s="121"/>
      <c r="Z11" s="122"/>
      <c r="AA11" s="581"/>
      <c r="AB11" s="121"/>
      <c r="AC11" s="121"/>
      <c r="AD11" s="121"/>
      <c r="AE11" s="122"/>
      <c r="AF11" s="581"/>
      <c r="AG11" s="120">
        <v>996.4</v>
      </c>
      <c r="AH11" s="121">
        <v>1201.9000000000001</v>
      </c>
      <c r="AI11" s="121">
        <v>871.7</v>
      </c>
      <c r="AJ11" s="121">
        <v>1328.2</v>
      </c>
      <c r="AK11" s="458">
        <v>4398.2</v>
      </c>
      <c r="AL11" s="120">
        <v>965.6</v>
      </c>
      <c r="AM11" s="121">
        <v>1203.5999999999999</v>
      </c>
      <c r="AN11" s="121">
        <v>888.2</v>
      </c>
      <c r="AO11" s="121">
        <v>1324.059</v>
      </c>
      <c r="AP11" s="458">
        <v>4381.5060000000003</v>
      </c>
      <c r="AQ11" s="120">
        <v>933.12800000000004</v>
      </c>
      <c r="AR11" s="121">
        <v>778.1</v>
      </c>
      <c r="AS11" s="121">
        <v>894.93439594398706</v>
      </c>
      <c r="AT11" s="121">
        <v>1387.066</v>
      </c>
      <c r="AU11" s="458">
        <f>SUM(AQ11:AT11)</f>
        <v>3993.2283959439874</v>
      </c>
      <c r="AV11" s="121">
        <v>955.63900000000001</v>
      </c>
      <c r="AW11" s="121">
        <v>1193.1590000000001</v>
      </c>
      <c r="AX11" s="121">
        <v>947.99099999999999</v>
      </c>
      <c r="AY11" s="121">
        <v>1450.482</v>
      </c>
      <c r="AZ11" s="458">
        <f>SUM(AV11:AY11)</f>
        <v>4547.2710000000006</v>
      </c>
      <c r="BA11" s="121">
        <v>970.04899999999998</v>
      </c>
      <c r="BB11" s="121">
        <v>1153.1379999999999</v>
      </c>
      <c r="BC11" s="121">
        <v>937.74599999999998</v>
      </c>
      <c r="BD11" s="121">
        <v>1448.0350000000001</v>
      </c>
      <c r="BE11" s="458">
        <f>BA11+BB11+BC11+BD11</f>
        <v>4508.9679999999998</v>
      </c>
      <c r="BF11" s="121">
        <v>1001.424</v>
      </c>
      <c r="BG11" s="121">
        <v>1216.4749999999999</v>
      </c>
      <c r="BH11" s="121">
        <v>997.88300000000004</v>
      </c>
      <c r="BI11" s="121">
        <v>1467.9880000000001</v>
      </c>
      <c r="BJ11" s="458">
        <f>BF11+BG11+BH11+BI11</f>
        <v>4683.7700000000004</v>
      </c>
      <c r="BK11" s="121">
        <v>1103.895</v>
      </c>
      <c r="BL11" s="121">
        <v>1285.9269999999999</v>
      </c>
      <c r="BM11" s="121">
        <v>1073.0740000000001</v>
      </c>
      <c r="BN11" s="121">
        <v>1508.8389999999999</v>
      </c>
      <c r="BO11" s="458">
        <f>BK11+BL11+BM11+BN11</f>
        <v>4971.7350000000006</v>
      </c>
      <c r="BP11" s="121">
        <v>1114.336</v>
      </c>
      <c r="BQ11" s="121"/>
      <c r="BR11" s="121"/>
      <c r="BS11" s="121"/>
      <c r="BT11" s="458"/>
      <c r="BV11" s="950"/>
    </row>
    <row r="12" spans="1:74" s="125" customFormat="1" ht="31.3" thickBot="1">
      <c r="B12" s="347" t="s">
        <v>692</v>
      </c>
      <c r="C12" s="347" t="s">
        <v>693</v>
      </c>
      <c r="D12" s="348"/>
      <c r="E12" s="348"/>
      <c r="F12" s="349"/>
      <c r="G12" s="350"/>
      <c r="H12" s="348"/>
      <c r="I12" s="348"/>
      <c r="J12" s="348"/>
      <c r="K12" s="349"/>
      <c r="L12" s="350"/>
      <c r="M12" s="348"/>
      <c r="N12" s="348"/>
      <c r="O12" s="348"/>
      <c r="P12" s="349"/>
      <c r="Q12" s="350"/>
      <c r="R12" s="348"/>
      <c r="S12" s="348"/>
      <c r="T12" s="348"/>
      <c r="U12" s="349"/>
      <c r="V12" s="350"/>
      <c r="W12" s="348"/>
      <c r="X12" s="348"/>
      <c r="Y12" s="348"/>
      <c r="Z12" s="349"/>
      <c r="AA12" s="350"/>
      <c r="AB12" s="348"/>
      <c r="AC12" s="348"/>
      <c r="AD12" s="348"/>
      <c r="AE12" s="349"/>
      <c r="AF12" s="350"/>
      <c r="AG12" s="351">
        <v>269.10000000000002</v>
      </c>
      <c r="AH12" s="348">
        <v>321.39999999999998</v>
      </c>
      <c r="AI12" s="348">
        <v>240.8</v>
      </c>
      <c r="AJ12" s="348">
        <v>369.9</v>
      </c>
      <c r="AK12" s="459">
        <v>1201.3</v>
      </c>
      <c r="AL12" s="351">
        <v>270.60000000000002</v>
      </c>
      <c r="AM12" s="348">
        <v>324.89999999999998</v>
      </c>
      <c r="AN12" s="348">
        <v>249.9</v>
      </c>
      <c r="AO12" s="348">
        <v>379</v>
      </c>
      <c r="AP12" s="459">
        <v>1224.4000000000001</v>
      </c>
      <c r="AQ12" s="351">
        <v>262.54000000000002</v>
      </c>
      <c r="AR12" s="348">
        <v>212.9</v>
      </c>
      <c r="AS12" s="348">
        <v>252</v>
      </c>
      <c r="AT12" s="349">
        <v>396.08300000000003</v>
      </c>
      <c r="AU12" s="459">
        <v>1123.538</v>
      </c>
      <c r="AV12" s="349">
        <v>271.495</v>
      </c>
      <c r="AW12" s="349">
        <v>330.48700000000002</v>
      </c>
      <c r="AX12" s="349">
        <v>267.33800000000002</v>
      </c>
      <c r="AY12" s="349">
        <v>402.26600000000002</v>
      </c>
      <c r="AZ12" s="459">
        <f>SUM(AV12:AY12)</f>
        <v>1271.586</v>
      </c>
      <c r="BA12" s="349">
        <v>273.03399999999999</v>
      </c>
      <c r="BB12" s="349">
        <v>330.09300000000002</v>
      </c>
      <c r="BC12" s="349">
        <v>275.01</v>
      </c>
      <c r="BD12" s="349">
        <v>410.49900000000002</v>
      </c>
      <c r="BE12" s="459">
        <f>BA12+BB12+BC12+BD12</f>
        <v>1288.636</v>
      </c>
      <c r="BF12" s="349">
        <v>284.25200000000001</v>
      </c>
      <c r="BG12" s="349">
        <v>344.64100000000002</v>
      </c>
      <c r="BH12" s="349">
        <v>288.06400000000002</v>
      </c>
      <c r="BI12" s="349">
        <v>415.15899999999999</v>
      </c>
      <c r="BJ12" s="459">
        <f>BF12+BG12+BH12+BI12</f>
        <v>1332.116</v>
      </c>
      <c r="BK12" s="349">
        <v>306.91899999999998</v>
      </c>
      <c r="BL12" s="349">
        <v>361.238</v>
      </c>
      <c r="BM12" s="349">
        <v>296.67500000000001</v>
      </c>
      <c r="BN12" s="349">
        <v>422.72300000000001</v>
      </c>
      <c r="BO12" s="459">
        <f>BK12+BL12+BM12+BN12</f>
        <v>1387.5549999999998</v>
      </c>
      <c r="BP12" s="349">
        <v>319.512</v>
      </c>
      <c r="BQ12" s="349"/>
      <c r="BR12" s="349"/>
      <c r="BS12" s="349"/>
      <c r="BT12" s="459"/>
    </row>
    <row r="13" spans="1:74" ht="31.3" thickBot="1">
      <c r="A13"/>
      <c r="B13" s="339" t="s">
        <v>694</v>
      </c>
      <c r="C13" s="339" t="s">
        <v>695</v>
      </c>
      <c r="D13" s="340"/>
      <c r="E13" s="340"/>
      <c r="F13" s="341"/>
      <c r="G13" s="342"/>
      <c r="H13" s="340"/>
      <c r="I13" s="340"/>
      <c r="J13" s="340"/>
      <c r="K13" s="341"/>
      <c r="L13" s="342"/>
      <c r="M13" s="340"/>
      <c r="N13" s="340"/>
      <c r="O13" s="340"/>
      <c r="P13" s="341"/>
      <c r="Q13" s="342"/>
      <c r="R13" s="340"/>
      <c r="S13" s="340"/>
      <c r="T13" s="340"/>
      <c r="U13" s="341"/>
      <c r="V13" s="342"/>
      <c r="W13" s="340"/>
      <c r="X13" s="340"/>
      <c r="Y13" s="340"/>
      <c r="Z13" s="341"/>
      <c r="AA13" s="342"/>
      <c r="AB13" s="340"/>
      <c r="AC13" s="340"/>
      <c r="AD13" s="340"/>
      <c r="AE13" s="341"/>
      <c r="AF13" s="342"/>
      <c r="AG13" s="344">
        <f>AG12/AG11</f>
        <v>0.27007226013649138</v>
      </c>
      <c r="AH13" s="345">
        <f t="shared" ref="AH13:AT13" si="0">AH12/AH11</f>
        <v>0.26740993427073795</v>
      </c>
      <c r="AI13" s="345">
        <f t="shared" si="0"/>
        <v>0.27624182631639327</v>
      </c>
      <c r="AJ13" s="345">
        <f t="shared" si="0"/>
        <v>0.27849721427495855</v>
      </c>
      <c r="AK13" s="452">
        <f t="shared" si="0"/>
        <v>0.27313446409894959</v>
      </c>
      <c r="AL13" s="344">
        <f t="shared" si="0"/>
        <v>0.28024026512013256</v>
      </c>
      <c r="AM13" s="345">
        <f t="shared" si="0"/>
        <v>0.26994017946161514</v>
      </c>
      <c r="AN13" s="345">
        <f t="shared" si="0"/>
        <v>0.28135555055167755</v>
      </c>
      <c r="AO13" s="345">
        <f t="shared" si="0"/>
        <v>0.28624102098169341</v>
      </c>
      <c r="AP13" s="452">
        <f t="shared" si="0"/>
        <v>0.27944729506247395</v>
      </c>
      <c r="AQ13" s="344">
        <f t="shared" si="0"/>
        <v>0.28135475518899872</v>
      </c>
      <c r="AR13" s="345">
        <f t="shared" si="0"/>
        <v>0.27361521655314225</v>
      </c>
      <c r="AS13" s="345">
        <f t="shared" si="0"/>
        <v>0.28158488615714394</v>
      </c>
      <c r="AT13" s="346">
        <f t="shared" si="0"/>
        <v>0.28555454462873431</v>
      </c>
      <c r="AU13" s="452">
        <f>AU12/AU11</f>
        <v>0.28136081601072532</v>
      </c>
      <c r="AV13" s="345">
        <f t="shared" ref="AV13:BJ13" si="1">AV12/AV11</f>
        <v>0.28409786540733478</v>
      </c>
      <c r="AW13" s="345">
        <f>ROUNDUP(AW12/AW11,3)</f>
        <v>0.27700000000000002</v>
      </c>
      <c r="AX13" s="345">
        <f t="shared" si="1"/>
        <v>0.28200478696527714</v>
      </c>
      <c r="AY13" s="346">
        <f t="shared" si="1"/>
        <v>0.27733263839192768</v>
      </c>
      <c r="AZ13" s="452">
        <f t="shared" si="1"/>
        <v>0.27963717139356764</v>
      </c>
      <c r="BA13" s="345">
        <f t="shared" si="1"/>
        <v>0.28146413222424849</v>
      </c>
      <c r="BB13" s="345">
        <f t="shared" si="1"/>
        <v>0.28625628502399542</v>
      </c>
      <c r="BC13" s="345">
        <f t="shared" si="1"/>
        <v>0.29326704672693887</v>
      </c>
      <c r="BD13" s="345">
        <f t="shared" si="1"/>
        <v>0.28348693229100125</v>
      </c>
      <c r="BE13" s="452">
        <f t="shared" si="1"/>
        <v>0.28579399986870613</v>
      </c>
      <c r="BF13" s="345">
        <f t="shared" si="1"/>
        <v>0.28384780073175797</v>
      </c>
      <c r="BG13" s="345">
        <f t="shared" si="1"/>
        <v>0.28331120655993758</v>
      </c>
      <c r="BH13" s="345">
        <f t="shared" si="1"/>
        <v>0.28867512524013339</v>
      </c>
      <c r="BI13" s="345">
        <f t="shared" si="1"/>
        <v>0.28280817009403347</v>
      </c>
      <c r="BJ13" s="452">
        <f t="shared" si="1"/>
        <v>0.28441106202909194</v>
      </c>
      <c r="BK13" s="345">
        <f t="shared" ref="BK13:BP13" si="2">BK12/BK11</f>
        <v>0.27803278391513686</v>
      </c>
      <c r="BL13" s="345">
        <f t="shared" si="2"/>
        <v>0.28091641282903307</v>
      </c>
      <c r="BM13" s="345">
        <f t="shared" si="2"/>
        <v>0.27647207927878226</v>
      </c>
      <c r="BN13" s="345">
        <f t="shared" si="2"/>
        <v>0.28016441780733398</v>
      </c>
      <c r="BO13" s="452">
        <f t="shared" si="2"/>
        <v>0.27908868835527229</v>
      </c>
      <c r="BP13" s="345">
        <f t="shared" si="2"/>
        <v>0.28672859891451052</v>
      </c>
      <c r="BQ13" s="345"/>
      <c r="BR13" s="345"/>
      <c r="BS13" s="345"/>
      <c r="BT13" s="452"/>
    </row>
    <row r="14" spans="1:74" ht="14.6">
      <c r="A14"/>
      <c r="B14" s="124"/>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5"/>
      <c r="AH14" s="125"/>
      <c r="AI14" s="125"/>
      <c r="AJ14" s="125"/>
      <c r="AK14" s="125"/>
      <c r="AL14" s="125"/>
      <c r="AM14" s="125"/>
      <c r="AN14" s="125"/>
      <c r="AO14" s="125"/>
      <c r="AP14" s="125"/>
      <c r="AQ14" s="125"/>
      <c r="AR14" s="125"/>
      <c r="AS14" s="125"/>
      <c r="AT14" s="125"/>
      <c r="AU14" s="125"/>
      <c r="AV14" s="169"/>
      <c r="AW14" s="125"/>
      <c r="AX14" s="125"/>
      <c r="AY14" s="125"/>
      <c r="AZ14" s="125"/>
      <c r="BA14" s="169"/>
      <c r="BB14" s="125"/>
      <c r="BC14" s="125"/>
      <c r="BD14" s="125"/>
      <c r="BE14" s="125"/>
      <c r="BF14" s="169"/>
      <c r="BG14" s="125"/>
      <c r="BH14" s="125"/>
      <c r="BI14" s="125"/>
      <c r="BJ14" s="125"/>
      <c r="BK14" s="169"/>
      <c r="BL14" s="125"/>
      <c r="BM14" s="125"/>
      <c r="BN14" s="125"/>
      <c r="BO14" s="125"/>
      <c r="BP14" s="169"/>
      <c r="BQ14" s="125"/>
      <c r="BR14" s="125"/>
      <c r="BS14" s="125"/>
      <c r="BT14" s="125"/>
    </row>
    <row r="15" spans="1:74" s="113" customFormat="1" hidden="1">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26"/>
      <c r="AP15"/>
      <c r="AU15"/>
      <c r="AV15" s="170"/>
      <c r="AZ15"/>
      <c r="BA15" s="170"/>
      <c r="BE15"/>
      <c r="BF15" s="170"/>
      <c r="BJ15"/>
      <c r="BK15" s="170"/>
      <c r="BO15"/>
      <c r="BP15" s="170"/>
      <c r="BT15"/>
    </row>
    <row r="16" spans="1:74" s="113" customFormat="1" hidden="1">
      <c r="B16" s="127"/>
      <c r="C16" s="127"/>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127"/>
      <c r="AH16" s="127"/>
      <c r="AI16" s="127"/>
      <c r="AK16"/>
      <c r="AP16"/>
      <c r="AU16"/>
      <c r="AZ16"/>
      <c r="BE16"/>
      <c r="BJ16"/>
      <c r="BO16"/>
      <c r="BT16"/>
    </row>
    <row r="17" spans="2:72" s="128" customFormat="1" ht="27.75" customHeight="1">
      <c r="B17" s="352" t="s">
        <v>696</v>
      </c>
      <c r="C17" s="352" t="s">
        <v>697</v>
      </c>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2"/>
      <c r="AH17" s="2"/>
      <c r="AI17" s="2"/>
      <c r="AJ17" s="113"/>
      <c r="AK17"/>
      <c r="AL17" s="113"/>
      <c r="AM17" s="113"/>
      <c r="AN17" s="113"/>
      <c r="AO17" s="113"/>
      <c r="AP17"/>
      <c r="AU17" s="330"/>
      <c r="AZ17" s="330"/>
      <c r="BE17" s="330"/>
      <c r="BJ17" s="330"/>
      <c r="BO17" s="330"/>
      <c r="BP17" s="949"/>
      <c r="BT17" s="330"/>
    </row>
    <row r="18" spans="2:72" s="128" customFormat="1" ht="27.75" customHeight="1" thickBot="1">
      <c r="B18" s="129" t="s">
        <v>698</v>
      </c>
      <c r="C18" s="129" t="s">
        <v>699</v>
      </c>
      <c r="D18" s="326"/>
      <c r="E18" s="326"/>
      <c r="F18" s="326"/>
      <c r="G18" s="326"/>
      <c r="H18" s="326"/>
      <c r="I18" s="326"/>
      <c r="J18" s="326"/>
      <c r="K18" s="326"/>
      <c r="L18" s="326"/>
      <c r="M18" s="326"/>
      <c r="N18" s="326"/>
      <c r="O18" s="326"/>
      <c r="P18" s="326"/>
      <c r="Q18" s="326"/>
      <c r="R18" s="326"/>
      <c r="S18" s="326"/>
      <c r="T18" s="326"/>
      <c r="U18" s="326"/>
      <c r="V18" s="326"/>
      <c r="W18" s="326"/>
      <c r="X18" s="326"/>
      <c r="Y18" s="326"/>
      <c r="Z18" s="326"/>
      <c r="AA18" s="326"/>
      <c r="AB18" s="326"/>
      <c r="AC18" s="326"/>
      <c r="AD18" s="326"/>
      <c r="AE18" s="326"/>
      <c r="AF18" s="326"/>
      <c r="AG18" s="2"/>
      <c r="AH18" s="2"/>
      <c r="AI18" s="2"/>
      <c r="AJ18" s="113"/>
      <c r="AK18"/>
      <c r="AL18" s="113"/>
      <c r="AM18" s="113"/>
      <c r="AN18" s="113"/>
      <c r="AO18" s="113"/>
      <c r="AP18"/>
      <c r="AU18" s="330"/>
      <c r="AZ18" s="330"/>
      <c r="BE18" s="330"/>
      <c r="BJ18" s="330"/>
      <c r="BO18" s="330"/>
      <c r="BT18" s="330"/>
    </row>
    <row r="19" spans="2:72" s="353" customFormat="1" ht="20.25" customHeight="1" thickBot="1">
      <c r="B19" s="976" t="s">
        <v>700</v>
      </c>
      <c r="C19" s="982" t="s">
        <v>701</v>
      </c>
      <c r="D19" s="978"/>
      <c r="E19" s="979"/>
      <c r="F19" s="979"/>
      <c r="G19" s="980"/>
      <c r="H19" s="978"/>
      <c r="I19" s="979"/>
      <c r="J19" s="979"/>
      <c r="K19" s="979"/>
      <c r="L19" s="980"/>
      <c r="M19" s="978"/>
      <c r="N19" s="979"/>
      <c r="O19" s="979"/>
      <c r="P19" s="979"/>
      <c r="Q19" s="980"/>
      <c r="R19" s="978"/>
      <c r="S19" s="979"/>
      <c r="T19" s="979"/>
      <c r="U19" s="979"/>
      <c r="V19" s="980"/>
      <c r="W19" s="978"/>
      <c r="X19" s="979"/>
      <c r="Y19" s="979"/>
      <c r="Z19" s="979"/>
      <c r="AA19" s="980"/>
      <c r="AB19" s="978"/>
      <c r="AC19" s="979"/>
      <c r="AD19" s="979"/>
      <c r="AE19" s="979"/>
      <c r="AF19" s="980"/>
      <c r="AG19" s="972">
        <v>2018</v>
      </c>
      <c r="AH19" s="973"/>
      <c r="AI19" s="973"/>
      <c r="AJ19" s="973"/>
      <c r="AK19" s="974">
        <v>2018</v>
      </c>
      <c r="AL19" s="972">
        <v>2019</v>
      </c>
      <c r="AM19" s="973"/>
      <c r="AN19" s="973"/>
      <c r="AO19" s="973"/>
      <c r="AP19" s="974">
        <v>2019</v>
      </c>
      <c r="AQ19" s="972">
        <v>2020</v>
      </c>
      <c r="AR19" s="973"/>
      <c r="AS19" s="973"/>
      <c r="AT19" s="973"/>
      <c r="AU19" s="974">
        <v>2020</v>
      </c>
      <c r="AV19" s="972">
        <f>AV2</f>
        <v>2021</v>
      </c>
      <c r="AW19" s="973"/>
      <c r="AX19" s="973"/>
      <c r="AY19" s="973"/>
      <c r="AZ19" s="974">
        <v>2021</v>
      </c>
      <c r="BA19" s="972">
        <f>BA2</f>
        <v>2022</v>
      </c>
      <c r="BB19" s="973"/>
      <c r="BC19" s="973"/>
      <c r="BD19" s="973"/>
      <c r="BE19" s="974">
        <v>2022</v>
      </c>
      <c r="BF19" s="972">
        <f>BF2</f>
        <v>2023</v>
      </c>
      <c r="BG19" s="973"/>
      <c r="BH19" s="973"/>
      <c r="BI19" s="973"/>
      <c r="BJ19" s="974">
        <v>2023</v>
      </c>
      <c r="BK19" s="972">
        <f>BK2</f>
        <v>2024</v>
      </c>
      <c r="BL19" s="973"/>
      <c r="BM19" s="973"/>
      <c r="BN19" s="973"/>
      <c r="BO19" s="974">
        <v>2024</v>
      </c>
      <c r="BP19" s="972">
        <f>BP2</f>
        <v>2025</v>
      </c>
      <c r="BQ19" s="973"/>
      <c r="BR19" s="973"/>
      <c r="BS19" s="973"/>
      <c r="BT19" s="974">
        <v>2025</v>
      </c>
    </row>
    <row r="20" spans="2:72" s="354" customFormat="1" ht="20.25" customHeight="1" thickBot="1">
      <c r="B20" s="977"/>
      <c r="C20" s="983"/>
      <c r="D20" s="334"/>
      <c r="E20" s="335"/>
      <c r="F20" s="335"/>
      <c r="G20" s="981"/>
      <c r="H20" s="334"/>
      <c r="I20" s="335"/>
      <c r="J20" s="335"/>
      <c r="K20" s="335"/>
      <c r="L20" s="981"/>
      <c r="M20" s="334"/>
      <c r="N20" s="335"/>
      <c r="O20" s="335"/>
      <c r="P20" s="335"/>
      <c r="Q20" s="981"/>
      <c r="R20" s="334"/>
      <c r="S20" s="335"/>
      <c r="T20" s="335"/>
      <c r="U20" s="335"/>
      <c r="V20" s="981"/>
      <c r="W20" s="334"/>
      <c r="X20" s="335"/>
      <c r="Y20" s="335"/>
      <c r="Z20" s="335"/>
      <c r="AA20" s="981"/>
      <c r="AB20" s="334"/>
      <c r="AC20" s="335"/>
      <c r="AD20" s="335"/>
      <c r="AE20" s="335"/>
      <c r="AF20" s="981"/>
      <c r="AG20" s="332" t="s">
        <v>620</v>
      </c>
      <c r="AH20" s="333" t="s">
        <v>621</v>
      </c>
      <c r="AI20" s="333" t="s">
        <v>622</v>
      </c>
      <c r="AJ20" s="333" t="s">
        <v>623</v>
      </c>
      <c r="AK20" s="975"/>
      <c r="AL20" s="332" t="s">
        <v>620</v>
      </c>
      <c r="AM20" s="333" t="s">
        <v>621</v>
      </c>
      <c r="AN20" s="333" t="s">
        <v>622</v>
      </c>
      <c r="AO20" s="333" t="s">
        <v>623</v>
      </c>
      <c r="AP20" s="975"/>
      <c r="AQ20" s="332" t="s">
        <v>620</v>
      </c>
      <c r="AR20" s="333" t="s">
        <v>621</v>
      </c>
      <c r="AS20" s="333" t="s">
        <v>622</v>
      </c>
      <c r="AT20" s="333" t="s">
        <v>623</v>
      </c>
      <c r="AU20" s="975"/>
      <c r="AV20" s="332" t="s">
        <v>620</v>
      </c>
      <c r="AW20" s="333" t="s">
        <v>621</v>
      </c>
      <c r="AX20" s="333" t="s">
        <v>622</v>
      </c>
      <c r="AY20" s="333" t="s">
        <v>623</v>
      </c>
      <c r="AZ20" s="975"/>
      <c r="BA20" s="332" t="s">
        <v>620</v>
      </c>
      <c r="BB20" s="333" t="s">
        <v>621</v>
      </c>
      <c r="BC20" s="333" t="s">
        <v>622</v>
      </c>
      <c r="BD20" s="333" t="s">
        <v>623</v>
      </c>
      <c r="BE20" s="975"/>
      <c r="BF20" s="332" t="s">
        <v>620</v>
      </c>
      <c r="BG20" s="333" t="s">
        <v>621</v>
      </c>
      <c r="BH20" s="333" t="s">
        <v>622</v>
      </c>
      <c r="BI20" s="333" t="s">
        <v>623</v>
      </c>
      <c r="BJ20" s="975"/>
      <c r="BK20" s="332" t="s">
        <v>620</v>
      </c>
      <c r="BL20" s="333" t="s">
        <v>621</v>
      </c>
      <c r="BM20" s="333" t="s">
        <v>622</v>
      </c>
      <c r="BN20" s="333" t="s">
        <v>623</v>
      </c>
      <c r="BO20" s="975"/>
      <c r="BP20" s="332" t="s">
        <v>620</v>
      </c>
      <c r="BQ20" s="333" t="s">
        <v>621</v>
      </c>
      <c r="BR20" s="333" t="s">
        <v>622</v>
      </c>
      <c r="BS20" s="333" t="s">
        <v>623</v>
      </c>
      <c r="BT20" s="975"/>
    </row>
    <row r="21" spans="2:72" s="135" customFormat="1" ht="23.15" customHeight="1">
      <c r="B21" s="130" t="s">
        <v>702</v>
      </c>
      <c r="C21" s="130" t="s">
        <v>703</v>
      </c>
      <c r="D21" s="132"/>
      <c r="E21" s="132"/>
      <c r="F21" s="132"/>
      <c r="G21" s="323"/>
      <c r="H21" s="132"/>
      <c r="I21" s="132"/>
      <c r="J21" s="132"/>
      <c r="K21" s="132"/>
      <c r="L21" s="323"/>
      <c r="M21" s="132"/>
      <c r="N21" s="132"/>
      <c r="O21" s="132"/>
      <c r="P21" s="132"/>
      <c r="Q21" s="323"/>
      <c r="R21" s="132"/>
      <c r="S21" s="132"/>
      <c r="T21" s="132"/>
      <c r="U21" s="132"/>
      <c r="V21" s="323"/>
      <c r="W21" s="132"/>
      <c r="X21" s="132"/>
      <c r="Y21" s="132"/>
      <c r="Z21" s="132"/>
      <c r="AA21" s="323"/>
      <c r="AB21" s="132"/>
      <c r="AC21" s="132"/>
      <c r="AD21" s="132"/>
      <c r="AE21" s="132"/>
      <c r="AF21" s="323"/>
      <c r="AG21" s="133">
        <v>8.9575186666666706</v>
      </c>
      <c r="AH21" s="133">
        <v>9.2269073333333296</v>
      </c>
      <c r="AI21" s="133">
        <v>8.9584399999999995</v>
      </c>
      <c r="AJ21" s="133">
        <v>8.6488606666666694</v>
      </c>
      <c r="AK21" s="460">
        <v>8.9479316666666708</v>
      </c>
      <c r="AL21" s="133">
        <v>9.0586716666666707</v>
      </c>
      <c r="AM21" s="133">
        <v>9.5436246666666662</v>
      </c>
      <c r="AN21" s="133">
        <v>9.9339253333333346</v>
      </c>
      <c r="AO21" s="133">
        <v>9.897098333333334</v>
      </c>
      <c r="AP21" s="460">
        <v>9.6083300000000005</v>
      </c>
      <c r="AQ21" s="133">
        <v>9.8268776666666646</v>
      </c>
      <c r="AR21" s="133">
        <v>10.836056000000001</v>
      </c>
      <c r="AS21" s="134">
        <v>18.484831</v>
      </c>
      <c r="AT21" s="141">
        <v>19.728791999999999</v>
      </c>
      <c r="AU21" s="460">
        <f>AVERAGE(AQ21:AT21)</f>
        <v>14.719139166666666</v>
      </c>
      <c r="AV21" s="134">
        <v>20.181743999999998</v>
      </c>
      <c r="AW21" s="134">
        <v>20.329488000000001</v>
      </c>
      <c r="AX21" s="134">
        <v>19.864871999999998</v>
      </c>
      <c r="AY21" s="134">
        <v>20.539062000000001</v>
      </c>
      <c r="AZ21" s="463">
        <f>AVERAGE(AV21:AY21)</f>
        <v>20.2287915</v>
      </c>
      <c r="BA21" s="134">
        <v>21.168755999999998</v>
      </c>
      <c r="BB21" s="134">
        <v>20.781953999999999</v>
      </c>
      <c r="BC21" s="134">
        <v>20.450285999999998</v>
      </c>
      <c r="BD21" s="134">
        <v>21.187601999999998</v>
      </c>
      <c r="BE21" s="705">
        <f>AVERAGE(BA21:BD21)</f>
        <v>20.897149499999998</v>
      </c>
      <c r="BF21" s="134">
        <v>21.172428</v>
      </c>
      <c r="BG21" s="134">
        <v>20.955024000000002</v>
      </c>
      <c r="BH21" s="134">
        <v>20.53782</v>
      </c>
      <c r="BI21" s="134">
        <v>20.8</v>
      </c>
      <c r="BJ21" s="705">
        <f>AVERAGE(BF21:BI21)</f>
        <v>20.866318</v>
      </c>
      <c r="BK21" s="134">
        <v>20.953782</v>
      </c>
      <c r="BL21" s="134">
        <v>20.380625999999999</v>
      </c>
      <c r="BM21" s="134">
        <v>19.417914</v>
      </c>
      <c r="BN21" s="134">
        <v>20.81268</v>
      </c>
      <c r="BO21" s="705">
        <f>AVERAGE(BK21:BN21)</f>
        <v>20.391250499999998</v>
      </c>
      <c r="BP21" s="134">
        <v>21.002490000000002</v>
      </c>
      <c r="BQ21" s="134"/>
      <c r="BR21" s="134"/>
      <c r="BS21" s="134"/>
      <c r="BT21" s="705"/>
    </row>
    <row r="22" spans="2:72" s="137" customFormat="1" ht="23.15" customHeight="1">
      <c r="B22" s="792" t="s">
        <v>704</v>
      </c>
      <c r="C22" s="792" t="s">
        <v>705</v>
      </c>
      <c r="D22" s="123"/>
      <c r="E22" s="123"/>
      <c r="F22" s="123"/>
      <c r="G22" s="323"/>
      <c r="H22" s="123"/>
      <c r="I22" s="123"/>
      <c r="J22" s="123"/>
      <c r="K22" s="123"/>
      <c r="L22" s="323"/>
      <c r="M22" s="123"/>
      <c r="N22" s="123"/>
      <c r="O22" s="123"/>
      <c r="P22" s="123"/>
      <c r="Q22" s="323"/>
      <c r="R22" s="123"/>
      <c r="S22" s="123"/>
      <c r="T22" s="123"/>
      <c r="U22" s="123"/>
      <c r="V22" s="323"/>
      <c r="W22" s="123"/>
      <c r="X22" s="123"/>
      <c r="Y22" s="123"/>
      <c r="Z22" s="123"/>
      <c r="AA22" s="323"/>
      <c r="AB22" s="123"/>
      <c r="AC22" s="123"/>
      <c r="AD22" s="123"/>
      <c r="AE22" s="123"/>
      <c r="AF22" s="323"/>
      <c r="AG22" s="136">
        <v>21.2333173333333</v>
      </c>
      <c r="AH22" s="136">
        <v>20.898015999999998</v>
      </c>
      <c r="AI22" s="136">
        <v>20.942602666666701</v>
      </c>
      <c r="AJ22" s="136">
        <v>21.839365666666701</v>
      </c>
      <c r="AK22" s="461">
        <v>21.228325416666699</v>
      </c>
      <c r="AL22" s="136">
        <v>22.457554666666667</v>
      </c>
      <c r="AM22" s="136">
        <v>21.564558000000002</v>
      </c>
      <c r="AN22" s="136">
        <v>20.811750666666669</v>
      </c>
      <c r="AO22" s="136">
        <v>21.400824666666669</v>
      </c>
      <c r="AP22" s="461">
        <v>21.558671999999998</v>
      </c>
      <c r="AQ22" s="136">
        <v>21.740159999999999</v>
      </c>
      <c r="AR22" s="136">
        <v>21.146581999999999</v>
      </c>
      <c r="AS22" s="136">
        <v>20.966215666666667</v>
      </c>
      <c r="AT22" s="142">
        <v>21.769559999999998</v>
      </c>
      <c r="AU22" s="461">
        <f>AVERAGE(AQ22:AT22)</f>
        <v>21.405629416666667</v>
      </c>
      <c r="AV22" s="136">
        <v>21.706271999999998</v>
      </c>
      <c r="AW22" s="136">
        <v>21.781169999999999</v>
      </c>
      <c r="AX22" s="136">
        <v>21.017016000000002</v>
      </c>
      <c r="AY22" s="136">
        <v>21.063780000000001</v>
      </c>
      <c r="AZ22" s="461">
        <f>AVERAGE(AV22:AY22)</f>
        <v>21.392059500000002</v>
      </c>
      <c r="BA22" s="136">
        <v>22.066668</v>
      </c>
      <c r="BB22" s="136">
        <v>21.783384000000002</v>
      </c>
      <c r="BC22" s="136">
        <v>22.015961999999998</v>
      </c>
      <c r="BD22" s="136">
        <v>22.645872000000001</v>
      </c>
      <c r="BE22" s="461">
        <f>AVERAGE(BA22:BD22)</f>
        <v>22.127971500000001</v>
      </c>
      <c r="BF22" s="136">
        <v>23.164596</v>
      </c>
      <c r="BG22" s="136">
        <v>22.845293999999999</v>
      </c>
      <c r="BH22" s="136">
        <v>21.37077</v>
      </c>
      <c r="BI22" s="136">
        <v>21.1</v>
      </c>
      <c r="BJ22" s="461">
        <f>AVERAGE(BF22:BI22)</f>
        <v>22.120165</v>
      </c>
      <c r="BK22" s="136">
        <v>21.105899999999998</v>
      </c>
      <c r="BL22" s="136">
        <v>20.518380000000001</v>
      </c>
      <c r="BM22" s="136">
        <v>20.243141999999999</v>
      </c>
      <c r="BN22" s="136">
        <v>20.327544</v>
      </c>
      <c r="BO22" s="461">
        <f>AVERAGE(BK22:BN22)</f>
        <v>20.548741499999998</v>
      </c>
      <c r="BP22" s="136">
        <v>19.635587999999998</v>
      </c>
      <c r="BQ22" s="136"/>
      <c r="BR22" s="136"/>
      <c r="BS22" s="136"/>
      <c r="BT22" s="461"/>
    </row>
    <row r="23" spans="2:72" s="137" customFormat="1" ht="23.15" customHeight="1">
      <c r="B23" s="792" t="s">
        <v>706</v>
      </c>
      <c r="C23" s="792" t="s">
        <v>707</v>
      </c>
      <c r="D23" s="117"/>
      <c r="E23" s="117"/>
      <c r="F23" s="117"/>
      <c r="G23" s="323"/>
      <c r="H23" s="117"/>
      <c r="I23" s="117"/>
      <c r="J23" s="117"/>
      <c r="K23" s="117"/>
      <c r="L23" s="323"/>
      <c r="M23" s="117"/>
      <c r="N23" s="117"/>
      <c r="O23" s="117"/>
      <c r="P23" s="117"/>
      <c r="Q23" s="323"/>
      <c r="R23" s="117"/>
      <c r="S23" s="117"/>
      <c r="T23" s="117"/>
      <c r="U23" s="117"/>
      <c r="V23" s="323"/>
      <c r="W23" s="117"/>
      <c r="X23" s="117"/>
      <c r="Y23" s="117"/>
      <c r="Z23" s="117"/>
      <c r="AA23" s="323"/>
      <c r="AB23" s="117"/>
      <c r="AC23" s="117"/>
      <c r="AD23" s="117"/>
      <c r="AE23" s="117"/>
      <c r="AF23" s="323"/>
      <c r="AG23" s="136">
        <v>21.468349</v>
      </c>
      <c r="AH23" s="136">
        <v>20.808209333333298</v>
      </c>
      <c r="AI23" s="136">
        <v>20.612301333333299</v>
      </c>
      <c r="AJ23" s="136">
        <v>21.082352</v>
      </c>
      <c r="AK23" s="461">
        <v>20.992802916666701</v>
      </c>
      <c r="AL23" s="136">
        <v>21.450856666666667</v>
      </c>
      <c r="AM23" s="136">
        <v>20.752137333333334</v>
      </c>
      <c r="AN23" s="136">
        <v>20.033246999999999</v>
      </c>
      <c r="AO23" s="136">
        <v>20.897084333333332</v>
      </c>
      <c r="AP23" s="461">
        <v>20.783331333333333</v>
      </c>
      <c r="AQ23" s="136">
        <v>21.910613000000001</v>
      </c>
      <c r="AR23" s="136">
        <v>21.920766666666665</v>
      </c>
      <c r="AS23" s="136">
        <v>20.933972666666669</v>
      </c>
      <c r="AT23" s="142">
        <v>21.592872</v>
      </c>
      <c r="AU23" s="461">
        <f t="shared" ref="AU23:AU25" si="3">AVERAGE(AQ23:AT23)</f>
        <v>21.589556083333335</v>
      </c>
      <c r="AV23" s="136">
        <v>21.562200000000001</v>
      </c>
      <c r="AW23" s="136">
        <v>21.70017</v>
      </c>
      <c r="AX23" s="136">
        <v>22.279806000000001</v>
      </c>
      <c r="AY23" s="136">
        <v>23.346792000000001</v>
      </c>
      <c r="AZ23" s="461">
        <f t="shared" ref="AZ23:AZ25" si="4">AVERAGE(AV23:AY23)</f>
        <v>22.222242000000001</v>
      </c>
      <c r="BA23" s="136">
        <v>22.519566000000001</v>
      </c>
      <c r="BB23" s="136">
        <v>21.660533999999998</v>
      </c>
      <c r="BC23" s="136">
        <v>21.742937999999999</v>
      </c>
      <c r="BD23" s="136">
        <v>22.101606</v>
      </c>
      <c r="BE23" s="461">
        <f>AVERAGE(BA23:BD23)</f>
        <v>22.006160999999999</v>
      </c>
      <c r="BF23" s="136">
        <v>22.138757999999999</v>
      </c>
      <c r="BG23" s="136">
        <v>21.514247999999998</v>
      </c>
      <c r="BH23" s="136">
        <v>20.962152</v>
      </c>
      <c r="BI23" s="136">
        <v>21.2</v>
      </c>
      <c r="BJ23" s="461">
        <f>AVERAGE(BF23:BI23)</f>
        <v>21.453789499999999</v>
      </c>
      <c r="BK23" s="136">
        <v>20.714238000000002</v>
      </c>
      <c r="BL23" s="136">
        <v>20.173428000000001</v>
      </c>
      <c r="BM23" s="136">
        <v>20.155878000000001</v>
      </c>
      <c r="BN23" s="136">
        <v>20.670282</v>
      </c>
      <c r="BO23" s="461">
        <f>AVERAGE(BK23:BN23)</f>
        <v>20.428456500000003</v>
      </c>
      <c r="BP23" s="136">
        <v>20.898972000000001</v>
      </c>
      <c r="BQ23" s="136"/>
      <c r="BR23" s="136"/>
      <c r="BS23" s="136"/>
      <c r="BT23" s="461"/>
    </row>
    <row r="24" spans="2:72" s="137" customFormat="1" ht="23.15" customHeight="1">
      <c r="B24" s="792" t="s">
        <v>708</v>
      </c>
      <c r="C24" s="792" t="s">
        <v>709</v>
      </c>
      <c r="D24" s="327"/>
      <c r="E24" s="327"/>
      <c r="F24" s="788"/>
      <c r="G24" s="323"/>
      <c r="H24" s="327"/>
      <c r="I24" s="327"/>
      <c r="J24" s="788"/>
      <c r="K24" s="788"/>
      <c r="L24" s="323"/>
      <c r="M24" s="327"/>
      <c r="N24" s="327"/>
      <c r="O24" s="788"/>
      <c r="P24" s="788"/>
      <c r="Q24" s="323"/>
      <c r="R24" s="327"/>
      <c r="S24" s="327"/>
      <c r="T24" s="788"/>
      <c r="U24" s="788"/>
      <c r="V24" s="323"/>
      <c r="W24" s="327"/>
      <c r="X24" s="327"/>
      <c r="Y24" s="788"/>
      <c r="Z24" s="788"/>
      <c r="AA24" s="323"/>
      <c r="AB24" s="327"/>
      <c r="AC24" s="327"/>
      <c r="AD24" s="788"/>
      <c r="AE24" s="788"/>
      <c r="AF24" s="323"/>
      <c r="AG24" s="793">
        <v>15.9318236666667</v>
      </c>
      <c r="AH24" s="793">
        <v>15.865494</v>
      </c>
      <c r="AI24" s="793">
        <v>16.060423333333301</v>
      </c>
      <c r="AJ24" s="793">
        <v>17.065826666666698</v>
      </c>
      <c r="AK24" s="461">
        <v>16.2308919166667</v>
      </c>
      <c r="AL24" s="793">
        <v>17.787435666666667</v>
      </c>
      <c r="AM24" s="793">
        <v>16.994359333333335</v>
      </c>
      <c r="AN24" s="793">
        <v>16.433279333333335</v>
      </c>
      <c r="AO24" s="793">
        <v>17.680521000000002</v>
      </c>
      <c r="AP24" s="461">
        <v>17.223898833333333</v>
      </c>
      <c r="AQ24" s="793">
        <v>18.596202000000002</v>
      </c>
      <c r="AR24" s="793">
        <v>17.204713999999999</v>
      </c>
      <c r="AS24" s="793">
        <v>15.98324</v>
      </c>
      <c r="AT24" s="793">
        <v>17.756712</v>
      </c>
      <c r="AU24" s="461">
        <f t="shared" si="3"/>
        <v>17.385217000000001</v>
      </c>
      <c r="AV24" s="136">
        <v>17.12556</v>
      </c>
      <c r="AW24" s="136">
        <v>16.734383999999999</v>
      </c>
      <c r="AX24" s="136">
        <v>16.549271999999998</v>
      </c>
      <c r="AY24" s="136">
        <v>17.245547999999999</v>
      </c>
      <c r="AZ24" s="461">
        <f t="shared" si="4"/>
        <v>16.913691</v>
      </c>
      <c r="BA24" s="136">
        <v>17.649467999999999</v>
      </c>
      <c r="BB24" s="136">
        <v>17.706437999999999</v>
      </c>
      <c r="BC24" s="136">
        <v>17.554212</v>
      </c>
      <c r="BD24" s="136">
        <v>18.561095999999999</v>
      </c>
      <c r="BE24" s="461">
        <f>AVERAGE(BA24:BD24)</f>
        <v>17.867803500000001</v>
      </c>
      <c r="BF24" s="136">
        <v>18.665154000000001</v>
      </c>
      <c r="BG24" s="136">
        <v>17.358246000000001</v>
      </c>
      <c r="BH24" s="136">
        <v>17.206398</v>
      </c>
      <c r="BI24" s="136">
        <v>16.98705</v>
      </c>
      <c r="BJ24" s="461">
        <f>AVERAGE(BF24:BI24)</f>
        <v>17.554212</v>
      </c>
      <c r="BK24" s="136">
        <v>16.645878</v>
      </c>
      <c r="BL24" s="136">
        <v>16.181424</v>
      </c>
      <c r="BM24" s="136">
        <v>15.016536</v>
      </c>
      <c r="BN24" s="136">
        <v>15.410682</v>
      </c>
      <c r="BO24" s="461">
        <f>AVERAGE(BK24:BN24)</f>
        <v>15.813630000000002</v>
      </c>
      <c r="BP24" s="136">
        <v>15.1</v>
      </c>
      <c r="BQ24" s="136"/>
      <c r="BR24" s="136"/>
      <c r="BS24" s="136"/>
      <c r="BT24" s="461"/>
    </row>
    <row r="25" spans="2:72" s="137" customFormat="1" ht="23.15" customHeight="1" thickBot="1">
      <c r="B25" s="794" t="s">
        <v>710</v>
      </c>
      <c r="C25" s="794" t="s">
        <v>711</v>
      </c>
      <c r="D25" s="639"/>
      <c r="E25" s="639"/>
      <c r="F25" s="795"/>
      <c r="G25" s="324"/>
      <c r="H25" s="639"/>
      <c r="I25" s="639"/>
      <c r="J25" s="795"/>
      <c r="K25" s="795"/>
      <c r="L25" s="324"/>
      <c r="M25" s="639"/>
      <c r="N25" s="639"/>
      <c r="O25" s="795"/>
      <c r="P25" s="795"/>
      <c r="Q25" s="324"/>
      <c r="R25" s="639"/>
      <c r="S25" s="639"/>
      <c r="T25" s="795"/>
      <c r="U25" s="795"/>
      <c r="V25" s="324"/>
      <c r="W25" s="639"/>
      <c r="X25" s="639"/>
      <c r="Y25" s="795"/>
      <c r="Z25" s="795"/>
      <c r="AA25" s="324"/>
      <c r="AB25" s="639"/>
      <c r="AC25" s="639"/>
      <c r="AD25" s="795"/>
      <c r="AE25" s="795"/>
      <c r="AF25" s="324"/>
      <c r="AG25" s="796">
        <v>16.4260943333333</v>
      </c>
      <c r="AH25" s="796">
        <v>15.977968000000001</v>
      </c>
      <c r="AI25" s="796">
        <v>16.207808</v>
      </c>
      <c r="AJ25" s="796">
        <v>17.236224666666701</v>
      </c>
      <c r="AK25" s="462">
        <v>16.46202375</v>
      </c>
      <c r="AL25" s="796">
        <v>17.738139</v>
      </c>
      <c r="AM25" s="796">
        <v>16.633941666666665</v>
      </c>
      <c r="AN25" s="796">
        <v>15.505186333333333</v>
      </c>
      <c r="AO25" s="796">
        <v>16.117697666666668</v>
      </c>
      <c r="AP25" s="462">
        <v>16.498741166666665</v>
      </c>
      <c r="AQ25" s="796">
        <v>16.987466000000001</v>
      </c>
      <c r="AR25" s="640">
        <v>16.000780333333335</v>
      </c>
      <c r="AS25" s="640">
        <v>14.976542333333335</v>
      </c>
      <c r="AT25" s="796">
        <v>17.669664000000001</v>
      </c>
      <c r="AU25" s="462">
        <f t="shared" si="3"/>
        <v>16.408613166666669</v>
      </c>
      <c r="AV25" s="645">
        <v>17.595576000000001</v>
      </c>
      <c r="AW25" s="645">
        <v>17.638991999999998</v>
      </c>
      <c r="AX25" s="645">
        <v>17.396370000000001</v>
      </c>
      <c r="AY25" s="645">
        <v>17.984159999999999</v>
      </c>
      <c r="AZ25" s="647">
        <f t="shared" si="4"/>
        <v>17.653774500000001</v>
      </c>
      <c r="BA25" s="645">
        <v>18.547865999999999</v>
      </c>
      <c r="BB25" s="645">
        <v>17.891604000000001</v>
      </c>
      <c r="BC25" s="645">
        <v>17.8767</v>
      </c>
      <c r="BD25" s="645">
        <v>18.523350000000001</v>
      </c>
      <c r="BE25" s="462">
        <f>AVERAGE(BA25:BD25)</f>
        <v>18.209879999999998</v>
      </c>
      <c r="BF25" s="645">
        <v>18.543654</v>
      </c>
      <c r="BG25" s="645">
        <v>19.430226000000001</v>
      </c>
      <c r="BH25" s="645">
        <v>18.916632</v>
      </c>
      <c r="BI25" s="645">
        <v>18.877752000000001</v>
      </c>
      <c r="BJ25" s="462">
        <f>AVERAGE(BF25:BI25)</f>
        <v>18.942066000000001</v>
      </c>
      <c r="BK25" s="645">
        <v>18.027684000000001</v>
      </c>
      <c r="BL25" s="645">
        <v>16.980029999999999</v>
      </c>
      <c r="BM25" s="645">
        <v>16.29693</v>
      </c>
      <c r="BN25" s="645">
        <v>16.557749999999999</v>
      </c>
      <c r="BO25" s="462">
        <f>AVERAGE(BK25:BN25)</f>
        <v>16.965598499999999</v>
      </c>
      <c r="BP25" s="645">
        <v>16.899999999999999</v>
      </c>
      <c r="BQ25" s="645"/>
      <c r="BR25" s="645"/>
      <c r="BS25" s="645"/>
      <c r="BT25" s="462"/>
    </row>
    <row r="26" spans="2:72" s="113" customFormat="1" ht="20.149999999999999" customHeight="1">
      <c r="D26"/>
      <c r="E26"/>
      <c r="F26"/>
      <c r="G26"/>
      <c r="H26"/>
      <c r="I26"/>
      <c r="J26"/>
      <c r="K26"/>
      <c r="L26"/>
      <c r="M26"/>
      <c r="N26"/>
      <c r="O26"/>
      <c r="P26"/>
      <c r="Q26"/>
      <c r="R26"/>
      <c r="S26"/>
      <c r="T26"/>
      <c r="U26"/>
      <c r="V26"/>
      <c r="W26"/>
      <c r="X26"/>
      <c r="Y26"/>
      <c r="Z26"/>
      <c r="AA26"/>
      <c r="AB26"/>
      <c r="AC26"/>
      <c r="AD26"/>
      <c r="AE26"/>
      <c r="AF26"/>
      <c r="AK26"/>
      <c r="AP26"/>
      <c r="AU26"/>
      <c r="AZ26"/>
      <c r="BE26"/>
      <c r="BJ26"/>
      <c r="BO26"/>
      <c r="BT26"/>
    </row>
    <row r="27" spans="2:72" s="113" customFormat="1" ht="27.75" customHeight="1" thickBot="1">
      <c r="B27" s="138" t="s">
        <v>712</v>
      </c>
      <c r="C27" s="138" t="s">
        <v>713</v>
      </c>
      <c r="D27" s="328"/>
      <c r="E27" s="328"/>
      <c r="F27" s="328"/>
      <c r="G27" s="328"/>
      <c r="H27" s="328"/>
      <c r="I27" s="328"/>
      <c r="J27" s="328"/>
      <c r="K27" s="328"/>
      <c r="L27" s="328"/>
      <c r="M27" s="328"/>
      <c r="N27" s="328"/>
      <c r="O27" s="328"/>
      <c r="P27" s="328"/>
      <c r="Q27" s="328"/>
      <c r="R27" s="328"/>
      <c r="S27" s="328"/>
      <c r="T27" s="328"/>
      <c r="U27" s="328"/>
      <c r="V27" s="328"/>
      <c r="W27" s="328"/>
      <c r="X27" s="328"/>
      <c r="Y27" s="328"/>
      <c r="Z27" s="328"/>
      <c r="AA27" s="328"/>
      <c r="AB27" s="328"/>
      <c r="AC27" s="328"/>
      <c r="AD27" s="328"/>
      <c r="AE27" s="328"/>
      <c r="AF27" s="328"/>
      <c r="AK27"/>
      <c r="AP27"/>
      <c r="AU27"/>
      <c r="AZ27"/>
      <c r="BE27"/>
      <c r="BJ27"/>
      <c r="BO27"/>
      <c r="BT27"/>
    </row>
    <row r="28" spans="2:72" s="355" customFormat="1" ht="20.25" customHeight="1">
      <c r="B28" s="976" t="s">
        <v>714</v>
      </c>
      <c r="C28" s="976" t="s">
        <v>715</v>
      </c>
      <c r="D28" s="972"/>
      <c r="E28" s="973"/>
      <c r="F28" s="973"/>
      <c r="G28" s="974"/>
      <c r="H28" s="972"/>
      <c r="I28" s="973"/>
      <c r="J28" s="973"/>
      <c r="K28" s="973"/>
      <c r="L28" s="974"/>
      <c r="M28" s="972"/>
      <c r="N28" s="973"/>
      <c r="O28" s="973"/>
      <c r="P28" s="973"/>
      <c r="Q28" s="974"/>
      <c r="R28" s="972"/>
      <c r="S28" s="973"/>
      <c r="T28" s="973"/>
      <c r="U28" s="973"/>
      <c r="V28" s="974"/>
      <c r="W28" s="972"/>
      <c r="X28" s="973"/>
      <c r="Y28" s="973"/>
      <c r="Z28" s="973"/>
      <c r="AA28" s="974"/>
      <c r="AB28" s="972"/>
      <c r="AC28" s="973"/>
      <c r="AD28" s="973"/>
      <c r="AE28" s="973"/>
      <c r="AF28" s="974"/>
      <c r="AG28" s="972">
        <v>2018</v>
      </c>
      <c r="AH28" s="973"/>
      <c r="AI28" s="973"/>
      <c r="AJ28" s="973"/>
      <c r="AK28" s="974">
        <v>2018</v>
      </c>
      <c r="AL28" s="972">
        <v>2019</v>
      </c>
      <c r="AM28" s="973"/>
      <c r="AN28" s="973"/>
      <c r="AO28" s="973"/>
      <c r="AP28" s="974">
        <v>2019</v>
      </c>
      <c r="AQ28" s="972">
        <v>2020</v>
      </c>
      <c r="AR28" s="973"/>
      <c r="AS28" s="973"/>
      <c r="AT28" s="973"/>
      <c r="AU28" s="974">
        <v>2020</v>
      </c>
      <c r="AV28" s="972">
        <f>AV2</f>
        <v>2021</v>
      </c>
      <c r="AW28" s="973"/>
      <c r="AX28" s="973"/>
      <c r="AY28" s="973"/>
      <c r="AZ28" s="974">
        <v>2021</v>
      </c>
      <c r="BA28" s="972">
        <f>BA2</f>
        <v>2022</v>
      </c>
      <c r="BB28" s="973"/>
      <c r="BC28" s="973"/>
      <c r="BD28" s="973"/>
      <c r="BE28" s="974">
        <v>2022</v>
      </c>
      <c r="BF28" s="972">
        <f>BF2</f>
        <v>2023</v>
      </c>
      <c r="BG28" s="973"/>
      <c r="BH28" s="973"/>
      <c r="BI28" s="973"/>
      <c r="BJ28" s="974">
        <v>2023</v>
      </c>
      <c r="BK28" s="972">
        <f>BK2</f>
        <v>2024</v>
      </c>
      <c r="BL28" s="973"/>
      <c r="BM28" s="973"/>
      <c r="BN28" s="973"/>
      <c r="BO28" s="974">
        <v>2024</v>
      </c>
      <c r="BP28" s="972">
        <f>BP2</f>
        <v>2025</v>
      </c>
      <c r="BQ28" s="973"/>
      <c r="BR28" s="973"/>
      <c r="BS28" s="973"/>
      <c r="BT28" s="974">
        <v>2025</v>
      </c>
    </row>
    <row r="29" spans="2:72" s="356" customFormat="1" ht="20.25" customHeight="1" thickBot="1">
      <c r="B29" s="977"/>
      <c r="C29" s="977"/>
      <c r="D29" s="332"/>
      <c r="E29" s="333"/>
      <c r="F29" s="333"/>
      <c r="G29" s="975"/>
      <c r="H29" s="332"/>
      <c r="I29" s="333"/>
      <c r="J29" s="333"/>
      <c r="K29" s="333"/>
      <c r="L29" s="975"/>
      <c r="M29" s="332"/>
      <c r="N29" s="333"/>
      <c r="O29" s="333"/>
      <c r="P29" s="333"/>
      <c r="Q29" s="975"/>
      <c r="R29" s="332"/>
      <c r="S29" s="333"/>
      <c r="T29" s="333"/>
      <c r="U29" s="333"/>
      <c r="V29" s="975"/>
      <c r="W29" s="332"/>
      <c r="X29" s="333"/>
      <c r="Y29" s="333"/>
      <c r="Z29" s="333"/>
      <c r="AA29" s="975"/>
      <c r="AB29" s="332"/>
      <c r="AC29" s="333"/>
      <c r="AD29" s="333"/>
      <c r="AE29" s="333"/>
      <c r="AF29" s="975"/>
      <c r="AG29" s="332" t="s">
        <v>620</v>
      </c>
      <c r="AH29" s="333" t="s">
        <v>621</v>
      </c>
      <c r="AI29" s="333" t="s">
        <v>622</v>
      </c>
      <c r="AJ29" s="333" t="s">
        <v>623</v>
      </c>
      <c r="AK29" s="975"/>
      <c r="AL29" s="332" t="s">
        <v>620</v>
      </c>
      <c r="AM29" s="333" t="s">
        <v>621</v>
      </c>
      <c r="AN29" s="333" t="s">
        <v>622</v>
      </c>
      <c r="AO29" s="333" t="s">
        <v>623</v>
      </c>
      <c r="AP29" s="975"/>
      <c r="AQ29" s="332" t="s">
        <v>620</v>
      </c>
      <c r="AR29" s="333" t="s">
        <v>621</v>
      </c>
      <c r="AS29" s="333" t="s">
        <v>622</v>
      </c>
      <c r="AT29" s="333" t="s">
        <v>623</v>
      </c>
      <c r="AU29" s="975"/>
      <c r="AV29" s="332" t="s">
        <v>620</v>
      </c>
      <c r="AW29" s="333" t="s">
        <v>621</v>
      </c>
      <c r="AX29" s="333" t="s">
        <v>622</v>
      </c>
      <c r="AY29" s="333" t="s">
        <v>623</v>
      </c>
      <c r="AZ29" s="975"/>
      <c r="BA29" s="332" t="s">
        <v>620</v>
      </c>
      <c r="BB29" s="333" t="s">
        <v>621</v>
      </c>
      <c r="BC29" s="333" t="s">
        <v>622</v>
      </c>
      <c r="BD29" s="333" t="s">
        <v>623</v>
      </c>
      <c r="BE29" s="975"/>
      <c r="BF29" s="332" t="s">
        <v>620</v>
      </c>
      <c r="BG29" s="333" t="s">
        <v>621</v>
      </c>
      <c r="BH29" s="333" t="s">
        <v>622</v>
      </c>
      <c r="BI29" s="333" t="s">
        <v>623</v>
      </c>
      <c r="BJ29" s="975"/>
      <c r="BK29" s="332" t="s">
        <v>620</v>
      </c>
      <c r="BL29" s="333" t="s">
        <v>621</v>
      </c>
      <c r="BM29" s="333" t="s">
        <v>622</v>
      </c>
      <c r="BN29" s="333" t="s">
        <v>623</v>
      </c>
      <c r="BO29" s="975"/>
      <c r="BP29" s="332" t="s">
        <v>620</v>
      </c>
      <c r="BQ29" s="333" t="s">
        <v>621</v>
      </c>
      <c r="BR29" s="333" t="s">
        <v>622</v>
      </c>
      <c r="BS29" s="333" t="s">
        <v>623</v>
      </c>
      <c r="BT29" s="975"/>
    </row>
    <row r="30" spans="2:72" s="140" customFormat="1" ht="20.149999999999999" customHeight="1">
      <c r="B30" s="130" t="s">
        <v>716</v>
      </c>
      <c r="C30" s="130" t="s">
        <v>717</v>
      </c>
      <c r="D30" s="132"/>
      <c r="E30" s="132"/>
      <c r="F30" s="132"/>
      <c r="G30" s="323"/>
      <c r="H30" s="132"/>
      <c r="I30" s="132"/>
      <c r="J30" s="132"/>
      <c r="K30" s="132"/>
      <c r="L30" s="323"/>
      <c r="M30" s="132"/>
      <c r="N30" s="132"/>
      <c r="O30" s="132"/>
      <c r="P30" s="132"/>
      <c r="Q30" s="323"/>
      <c r="R30" s="132"/>
      <c r="S30" s="132"/>
      <c r="T30" s="132"/>
      <c r="U30" s="132"/>
      <c r="V30" s="323"/>
      <c r="W30" s="132"/>
      <c r="X30" s="132"/>
      <c r="Y30" s="132"/>
      <c r="Z30" s="132"/>
      <c r="AA30" s="323"/>
      <c r="AB30" s="132"/>
      <c r="AC30" s="132"/>
      <c r="AD30" s="132"/>
      <c r="AE30" s="132"/>
      <c r="AF30" s="323"/>
      <c r="AG30" s="139">
        <v>119.246591</v>
      </c>
      <c r="AH30" s="139">
        <v>122.659119</v>
      </c>
      <c r="AI30" s="139">
        <v>115.47829</v>
      </c>
      <c r="AJ30" s="139">
        <v>124.290809</v>
      </c>
      <c r="AK30" s="467">
        <v>120.418702</v>
      </c>
      <c r="AL30" s="139">
        <v>141.89801766666699</v>
      </c>
      <c r="AM30" s="139">
        <v>142.39620733333334</v>
      </c>
      <c r="AN30" s="139">
        <v>147.647065</v>
      </c>
      <c r="AO30" s="139">
        <v>147.21163000000001</v>
      </c>
      <c r="AP30" s="467">
        <v>144.52833590909091</v>
      </c>
      <c r="AQ30" s="139">
        <v>156.99415033333335</v>
      </c>
      <c r="AR30" s="139">
        <v>175.901262</v>
      </c>
      <c r="AS30" s="131">
        <v>1489.1514456666669</v>
      </c>
      <c r="AT30" s="132">
        <v>1713.2906539999999</v>
      </c>
      <c r="AU30" s="467">
        <f>AVERAGE(AQ30:AT30)</f>
        <v>883.83437800000002</v>
      </c>
      <c r="AV30" s="131">
        <v>1739.0040570000001</v>
      </c>
      <c r="AW30" s="131">
        <v>2028.1014210000001</v>
      </c>
      <c r="AX30" s="131">
        <v>1995.4577059999999</v>
      </c>
      <c r="AY30" s="131">
        <v>1963.315611</v>
      </c>
      <c r="AZ30" s="464">
        <f>AVERAGE(AV30:AY30)</f>
        <v>1931.4696987500001</v>
      </c>
      <c r="BA30" s="131">
        <v>2170.3631930000001</v>
      </c>
      <c r="BB30" s="131">
        <v>2022.7836483333333</v>
      </c>
      <c r="BC30" s="131">
        <v>1970.2891830000001</v>
      </c>
      <c r="BD30" s="131">
        <v>2016.2877403333332</v>
      </c>
      <c r="BE30" s="464">
        <f>AVERAGE(BA30:BD30)</f>
        <v>2044.9309411666666</v>
      </c>
      <c r="BF30" s="131">
        <v>1937.6943776666667</v>
      </c>
      <c r="BG30" s="131">
        <v>1901.3941786666667</v>
      </c>
      <c r="BH30" s="131">
        <v>1943.9644653333332</v>
      </c>
      <c r="BI30" s="131">
        <v>1981.9090626666668</v>
      </c>
      <c r="BJ30" s="464">
        <f>AVERAGE(BF30:BI30)</f>
        <v>1941.2405210833333</v>
      </c>
      <c r="BK30" s="131">
        <v>1925.8604773333332</v>
      </c>
      <c r="BL30" s="131">
        <v>1808.4986039999999</v>
      </c>
      <c r="BM30" s="131">
        <v>1805.4340793333333</v>
      </c>
      <c r="BN30" s="131">
        <v>1813.276404</v>
      </c>
      <c r="BO30" s="464">
        <f>AVERAGE(BK30:BN30)</f>
        <v>1838.2673911666666</v>
      </c>
      <c r="BP30" s="131">
        <v>1907.0047123333331</v>
      </c>
      <c r="BQ30" s="131"/>
      <c r="BR30" s="131"/>
      <c r="BS30" s="131"/>
      <c r="BT30" s="464"/>
    </row>
    <row r="31" spans="2:72" s="113" customFormat="1" ht="20.149999999999999" customHeight="1">
      <c r="B31" s="792" t="s">
        <v>704</v>
      </c>
      <c r="C31" s="792" t="s">
        <v>705</v>
      </c>
      <c r="D31" s="123"/>
      <c r="E31" s="123"/>
      <c r="F31" s="123"/>
      <c r="G31" s="323"/>
      <c r="H31" s="123"/>
      <c r="I31" s="123"/>
      <c r="J31" s="123"/>
      <c r="K31" s="123"/>
      <c r="L31" s="323"/>
      <c r="M31" s="123"/>
      <c r="N31" s="123"/>
      <c r="O31" s="123"/>
      <c r="P31" s="123"/>
      <c r="Q31" s="323"/>
      <c r="R31" s="123"/>
      <c r="S31" s="123"/>
      <c r="T31" s="123"/>
      <c r="U31" s="123"/>
      <c r="V31" s="323"/>
      <c r="W31" s="123"/>
      <c r="X31" s="123"/>
      <c r="Y31" s="123"/>
      <c r="Z31" s="123"/>
      <c r="AA31" s="323"/>
      <c r="AB31" s="123"/>
      <c r="AC31" s="123"/>
      <c r="AD31" s="123"/>
      <c r="AE31" s="123"/>
      <c r="AF31" s="323"/>
      <c r="AG31" s="85">
        <v>3986.0391209999998</v>
      </c>
      <c r="AH31" s="85">
        <v>2843.8153569999999</v>
      </c>
      <c r="AI31" s="85">
        <v>2795.8327979999999</v>
      </c>
      <c r="AJ31" s="85">
        <v>2824.1565719999999</v>
      </c>
      <c r="AK31" s="465">
        <v>3112.4609620000001</v>
      </c>
      <c r="AL31" s="85">
        <v>3067.8559336666667</v>
      </c>
      <c r="AM31" s="85">
        <v>2816.4148613333336</v>
      </c>
      <c r="AN31" s="85">
        <v>2891.7096685000001</v>
      </c>
      <c r="AO31" s="85">
        <v>2865.860862</v>
      </c>
      <c r="AP31" s="465">
        <v>2912.164937090909</v>
      </c>
      <c r="AQ31" s="85">
        <v>3348.4315183333333</v>
      </c>
      <c r="AR31" s="85">
        <v>3454.8804993333333</v>
      </c>
      <c r="AS31" s="85">
        <v>2850.2637966666666</v>
      </c>
      <c r="AT31" s="123">
        <v>3489.1977529999999</v>
      </c>
      <c r="AU31" s="465">
        <f>AVERAGE(AQ31:AT31)</f>
        <v>3285.6933918333334</v>
      </c>
      <c r="AV31" s="85">
        <v>3448.092208</v>
      </c>
      <c r="AW31" s="85">
        <v>3363.2307430000001</v>
      </c>
      <c r="AX31" s="85">
        <v>3250.0863800000002</v>
      </c>
      <c r="AY31" s="85">
        <v>3592.842443</v>
      </c>
      <c r="AZ31" s="465">
        <f>AVERAGE(AV31:AY31)</f>
        <v>3413.5629435000001</v>
      </c>
      <c r="BA31" s="85">
        <v>4208.8861299999999</v>
      </c>
      <c r="BB31" s="85">
        <v>3907.9663673333334</v>
      </c>
      <c r="BC31" s="85">
        <v>3675.5723446666666</v>
      </c>
      <c r="BD31" s="85">
        <v>3774.7006889999998</v>
      </c>
      <c r="BE31" s="465">
        <f>AVERAGE(BA31:BD31)</f>
        <v>3891.7813827499999</v>
      </c>
      <c r="BF31" s="85">
        <v>3714.641404</v>
      </c>
      <c r="BG31" s="85">
        <v>3368.0013926666666</v>
      </c>
      <c r="BH31" s="85">
        <v>3294.5533236666665</v>
      </c>
      <c r="BI31" s="85">
        <v>3598.3460009999999</v>
      </c>
      <c r="BJ31" s="465">
        <f>AVERAGE(BF31:BI31)</f>
        <v>3493.8855303333335</v>
      </c>
      <c r="BK31" s="85">
        <v>3564.7950786666665</v>
      </c>
      <c r="BL31" s="85">
        <v>3194.4056190000001</v>
      </c>
      <c r="BM31" s="85">
        <v>3144.4129743333333</v>
      </c>
      <c r="BN31" s="85">
        <v>3078.2427290000001</v>
      </c>
      <c r="BO31" s="465">
        <f>AVERAGE(BK31:BN31)</f>
        <v>3245.4641002499998</v>
      </c>
      <c r="BP31" s="85">
        <v>1457.3401200000001</v>
      </c>
      <c r="BQ31" s="85"/>
      <c r="BR31" s="85"/>
      <c r="BS31" s="85"/>
      <c r="BT31" s="465"/>
    </row>
    <row r="32" spans="2:72" s="113" customFormat="1" ht="20.149999999999999" customHeight="1">
      <c r="B32" s="792" t="s">
        <v>706</v>
      </c>
      <c r="C32" s="792" t="s">
        <v>707</v>
      </c>
      <c r="D32" s="117"/>
      <c r="E32" s="117"/>
      <c r="F32" s="117"/>
      <c r="G32" s="323"/>
      <c r="H32" s="117"/>
      <c r="I32" s="117"/>
      <c r="J32" s="117"/>
      <c r="K32" s="117"/>
      <c r="L32" s="323"/>
      <c r="M32" s="117"/>
      <c r="N32" s="117"/>
      <c r="O32" s="117"/>
      <c r="P32" s="117"/>
      <c r="Q32" s="323"/>
      <c r="R32" s="117"/>
      <c r="S32" s="117"/>
      <c r="T32" s="117"/>
      <c r="U32" s="117"/>
      <c r="V32" s="323"/>
      <c r="W32" s="117"/>
      <c r="X32" s="117"/>
      <c r="Y32" s="117"/>
      <c r="Z32" s="117"/>
      <c r="AA32" s="323"/>
      <c r="AB32" s="117"/>
      <c r="AC32" s="117"/>
      <c r="AD32" s="117"/>
      <c r="AE32" s="117"/>
      <c r="AF32" s="323"/>
      <c r="AG32" s="85">
        <v>3147.101705</v>
      </c>
      <c r="AH32" s="85">
        <v>2634.622558</v>
      </c>
      <c r="AI32" s="85">
        <v>2262.472448</v>
      </c>
      <c r="AJ32" s="85">
        <v>1989.323279</v>
      </c>
      <c r="AK32" s="465">
        <v>2508.379997</v>
      </c>
      <c r="AL32" s="85">
        <v>2306.4432736666663</v>
      </c>
      <c r="AM32" s="85">
        <v>2056.0130949999998</v>
      </c>
      <c r="AN32" s="85">
        <v>2009.5032535</v>
      </c>
      <c r="AO32" s="85">
        <v>2040.8401793333333</v>
      </c>
      <c r="AP32" s="465">
        <v>2111.7178319090908</v>
      </c>
      <c r="AQ32" s="85">
        <v>2424.047912</v>
      </c>
      <c r="AR32" s="85">
        <v>2514.4230903333337</v>
      </c>
      <c r="AS32" s="85">
        <v>2247.1015526666665</v>
      </c>
      <c r="AT32" s="123">
        <v>2523.0223740000001</v>
      </c>
      <c r="AU32" s="465">
        <f t="shared" ref="AU32:AU34" si="5">AVERAGE(AQ32:AT32)</f>
        <v>2427.1487322500002</v>
      </c>
      <c r="AV32" s="85">
        <v>2360.7921510000001</v>
      </c>
      <c r="AW32" s="85">
        <v>2293.3762510000001</v>
      </c>
      <c r="AX32" s="85">
        <v>2353.431529</v>
      </c>
      <c r="AY32" s="85">
        <v>2488.5984250000001</v>
      </c>
      <c r="AZ32" s="465">
        <f t="shared" ref="AZ32:AZ34" si="6">AVERAGE(AV32:AY32)</f>
        <v>2374.0495890000002</v>
      </c>
      <c r="BA32" s="85">
        <v>3253.3832609999999</v>
      </c>
      <c r="BB32" s="85">
        <v>2762.1132349999998</v>
      </c>
      <c r="BC32" s="85">
        <v>2627.8295539999999</v>
      </c>
      <c r="BD32" s="85">
        <v>2698.7417666666665</v>
      </c>
      <c r="BE32" s="465">
        <f>AVERAGE(BA32:BD32)</f>
        <v>2835.5169541666664</v>
      </c>
      <c r="BF32" s="85">
        <v>2675.1429913333336</v>
      </c>
      <c r="BG32" s="85">
        <v>2433.421331</v>
      </c>
      <c r="BH32" s="85">
        <v>2428.8323660000001</v>
      </c>
      <c r="BI32" s="85">
        <v>2752.8977966666666</v>
      </c>
      <c r="BJ32" s="465">
        <f>AVERAGE(BF32:BI32)</f>
        <v>2572.5736212500001</v>
      </c>
      <c r="BK32" s="85">
        <v>2671.5144916666663</v>
      </c>
      <c r="BL32" s="85">
        <v>2485.0086373333334</v>
      </c>
      <c r="BM32" s="85">
        <v>2416.0164423333335</v>
      </c>
      <c r="BN32" s="85">
        <v>2479.3285553333335</v>
      </c>
      <c r="BO32" s="465">
        <f>AVERAGE(BK32:BN32)</f>
        <v>2512.9670316666666</v>
      </c>
      <c r="BP32" s="85">
        <v>2510.4569663333336</v>
      </c>
      <c r="BQ32" s="85"/>
      <c r="BR32" s="85"/>
      <c r="BS32" s="85"/>
      <c r="BT32" s="465"/>
    </row>
    <row r="33" spans="2:72" s="113" customFormat="1" ht="20.149999999999999" customHeight="1">
      <c r="B33" s="792" t="s">
        <v>708</v>
      </c>
      <c r="C33" s="792" t="s">
        <v>709</v>
      </c>
      <c r="D33" s="327"/>
      <c r="E33" s="327"/>
      <c r="F33" s="788"/>
      <c r="G33" s="323"/>
      <c r="H33" s="327"/>
      <c r="I33" s="327"/>
      <c r="J33" s="788"/>
      <c r="K33" s="788"/>
      <c r="L33" s="323"/>
      <c r="M33" s="327"/>
      <c r="N33" s="327"/>
      <c r="O33" s="788"/>
      <c r="P33" s="788"/>
      <c r="Q33" s="323"/>
      <c r="R33" s="327"/>
      <c r="S33" s="327"/>
      <c r="T33" s="788"/>
      <c r="U33" s="788"/>
      <c r="V33" s="323"/>
      <c r="W33" s="327"/>
      <c r="X33" s="327"/>
      <c r="Y33" s="788"/>
      <c r="Z33" s="788"/>
      <c r="AA33" s="323"/>
      <c r="AB33" s="327"/>
      <c r="AC33" s="327"/>
      <c r="AD33" s="788"/>
      <c r="AE33" s="788"/>
      <c r="AF33" s="323"/>
      <c r="AG33" s="797">
        <v>496.51288099999999</v>
      </c>
      <c r="AH33" s="797">
        <v>494.34597000000002</v>
      </c>
      <c r="AI33" s="797">
        <v>475.84753799999999</v>
      </c>
      <c r="AJ33" s="797">
        <v>550.75379799999996</v>
      </c>
      <c r="AK33" s="465">
        <v>504.365047</v>
      </c>
      <c r="AL33" s="797">
        <v>653.34457066666664</v>
      </c>
      <c r="AM33" s="797">
        <v>688.13588766666658</v>
      </c>
      <c r="AN33" s="797">
        <v>704.99070133333339</v>
      </c>
      <c r="AO33" s="797">
        <v>733.35113000000001</v>
      </c>
      <c r="AP33" s="465">
        <v>694.95557241666666</v>
      </c>
      <c r="AQ33" s="797">
        <v>908.30737366666665</v>
      </c>
      <c r="AR33" s="797">
        <v>796.95762233333335</v>
      </c>
      <c r="AS33" s="797">
        <v>826.83673199999998</v>
      </c>
      <c r="AT33" s="123">
        <v>914.32968500000004</v>
      </c>
      <c r="AU33" s="465">
        <f t="shared" si="5"/>
        <v>861.60785324999995</v>
      </c>
      <c r="AV33" s="797">
        <v>918.73843299999999</v>
      </c>
      <c r="AW33" s="797">
        <v>816.42182000000003</v>
      </c>
      <c r="AX33" s="797">
        <v>824.29132700000002</v>
      </c>
      <c r="AY33" s="797">
        <v>859.91131800000005</v>
      </c>
      <c r="AZ33" s="465">
        <f t="shared" si="6"/>
        <v>854.84072449999996</v>
      </c>
      <c r="BA33" s="797">
        <v>830.924621</v>
      </c>
      <c r="BB33" s="797">
        <v>832.0364933333334</v>
      </c>
      <c r="BC33" s="797">
        <v>777.37135566666666</v>
      </c>
      <c r="BD33" s="797">
        <v>861.91970433333336</v>
      </c>
      <c r="BE33" s="465">
        <f>AVERAGE(BA33:BD33)</f>
        <v>825.56304358333341</v>
      </c>
      <c r="BF33" s="797">
        <v>1022.4914056666667</v>
      </c>
      <c r="BG33" s="797">
        <v>674.50910599999997</v>
      </c>
      <c r="BH33" s="797">
        <v>690.1505566666666</v>
      </c>
      <c r="BI33" s="797">
        <v>761.94536466666659</v>
      </c>
      <c r="BJ33" s="465">
        <f>AVERAGE(BF33:BI33)</f>
        <v>787.27410824999993</v>
      </c>
      <c r="BK33" s="797">
        <v>865.02938099999994</v>
      </c>
      <c r="BL33" s="797">
        <v>797.89691933333336</v>
      </c>
      <c r="BM33" s="797">
        <v>765.91233999999997</v>
      </c>
      <c r="BN33" s="797">
        <v>641.67133799999999</v>
      </c>
      <c r="BO33" s="465">
        <f>AVERAGE(BK33:BN33)</f>
        <v>767.62749458333337</v>
      </c>
      <c r="BP33" s="797">
        <v>478</v>
      </c>
      <c r="BQ33" s="797"/>
      <c r="BR33" s="797"/>
      <c r="BS33" s="797"/>
      <c r="BT33" s="465"/>
    </row>
    <row r="34" spans="2:72" s="113" customFormat="1" ht="20.149999999999999" customHeight="1" thickBot="1">
      <c r="B34" s="794" t="s">
        <v>710</v>
      </c>
      <c r="C34" s="794" t="s">
        <v>711</v>
      </c>
      <c r="D34" s="639"/>
      <c r="E34" s="639"/>
      <c r="F34" s="795"/>
      <c r="G34" s="324"/>
      <c r="H34" s="639"/>
      <c r="I34" s="639"/>
      <c r="J34" s="795"/>
      <c r="K34" s="795"/>
      <c r="L34" s="324"/>
      <c r="M34" s="639"/>
      <c r="N34" s="639"/>
      <c r="O34" s="795"/>
      <c r="P34" s="795"/>
      <c r="Q34" s="324"/>
      <c r="R34" s="639"/>
      <c r="S34" s="639"/>
      <c r="T34" s="795"/>
      <c r="U34" s="795"/>
      <c r="V34" s="324"/>
      <c r="W34" s="639"/>
      <c r="X34" s="639"/>
      <c r="Y34" s="795"/>
      <c r="Z34" s="795"/>
      <c r="AA34" s="324"/>
      <c r="AB34" s="639"/>
      <c r="AC34" s="639"/>
      <c r="AD34" s="795"/>
      <c r="AE34" s="795"/>
      <c r="AF34" s="324"/>
      <c r="AG34" s="798">
        <v>701.28572999999994</v>
      </c>
      <c r="AH34" s="798">
        <v>632.023324</v>
      </c>
      <c r="AI34" s="798">
        <v>599.56303200000002</v>
      </c>
      <c r="AJ34" s="798">
        <v>627.25341200000003</v>
      </c>
      <c r="AK34" s="466">
        <v>640.03137500000003</v>
      </c>
      <c r="AL34" s="798">
        <v>652.00119633333338</v>
      </c>
      <c r="AM34" s="798">
        <v>532.50463433333334</v>
      </c>
      <c r="AN34" s="798">
        <v>542.2565065</v>
      </c>
      <c r="AO34" s="798">
        <v>522.11580900000001</v>
      </c>
      <c r="AP34" s="466">
        <v>564.03435745454544</v>
      </c>
      <c r="AQ34" s="798">
        <v>645.25113733333342</v>
      </c>
      <c r="AR34" s="641">
        <v>585.152736</v>
      </c>
      <c r="AS34" s="641">
        <v>505.00412899999998</v>
      </c>
      <c r="AT34" s="642">
        <v>608.30699400000003</v>
      </c>
      <c r="AU34" s="466">
        <f t="shared" si="5"/>
        <v>585.92874908333329</v>
      </c>
      <c r="AV34" s="646">
        <v>589.85531400000002</v>
      </c>
      <c r="AW34" s="646">
        <v>572.48614299999997</v>
      </c>
      <c r="AX34" s="646">
        <v>605.14870599999995</v>
      </c>
      <c r="AY34" s="646">
        <v>608.22494300000005</v>
      </c>
      <c r="AZ34" s="648">
        <f t="shared" si="6"/>
        <v>593.92877650000003</v>
      </c>
      <c r="BA34" s="646">
        <v>708.24070340000003</v>
      </c>
      <c r="BB34" s="646">
        <v>574.09954033333338</v>
      </c>
      <c r="BC34" s="646">
        <v>594.76668800000004</v>
      </c>
      <c r="BD34" s="646">
        <v>671.62155900000005</v>
      </c>
      <c r="BE34" s="648">
        <f>AVERAGE(BA34:BD34)</f>
        <v>637.18212268333343</v>
      </c>
      <c r="BF34" s="646">
        <v>663.36616300000003</v>
      </c>
      <c r="BG34" s="646">
        <v>669.95557933333339</v>
      </c>
      <c r="BH34" s="646">
        <v>833.66920233333337</v>
      </c>
      <c r="BI34" s="646">
        <v>935.58436733333338</v>
      </c>
      <c r="BJ34" s="648">
        <f>AVERAGE(BF34:BI34)</f>
        <v>775.6438280000001</v>
      </c>
      <c r="BK34" s="646">
        <v>905.88883066666665</v>
      </c>
      <c r="BL34" s="646">
        <v>860.33346233333339</v>
      </c>
      <c r="BM34" s="646">
        <v>812.06469933333335</v>
      </c>
      <c r="BN34" s="646">
        <v>709.83626200000003</v>
      </c>
      <c r="BO34" s="648">
        <f>AVERAGE(BK34:BN34)</f>
        <v>822.03081358333338</v>
      </c>
      <c r="BP34" s="646">
        <v>769</v>
      </c>
      <c r="BQ34" s="646"/>
      <c r="BR34" s="646"/>
      <c r="BS34" s="646"/>
      <c r="BT34" s="648"/>
    </row>
    <row r="35" spans="2:72" s="113" customFormat="1" ht="20.149999999999999" customHeight="1">
      <c r="D35"/>
      <c r="E35"/>
      <c r="F35"/>
      <c r="G35"/>
      <c r="H35"/>
      <c r="I35"/>
      <c r="J35"/>
      <c r="K35"/>
      <c r="L35"/>
      <c r="M35"/>
      <c r="N35"/>
      <c r="O35"/>
      <c r="P35"/>
      <c r="Q35"/>
      <c r="R35"/>
      <c r="S35"/>
      <c r="T35"/>
      <c r="U35"/>
      <c r="V35"/>
      <c r="W35"/>
      <c r="X35"/>
      <c r="Y35"/>
      <c r="Z35"/>
      <c r="AA35"/>
      <c r="AB35"/>
      <c r="AC35"/>
      <c r="AD35"/>
      <c r="AE35"/>
      <c r="AF35"/>
      <c r="AK35"/>
      <c r="AP35"/>
      <c r="AU35"/>
      <c r="AZ35"/>
      <c r="BE35"/>
      <c r="BJ35"/>
    </row>
    <row r="36" spans="2:72" s="113" customFormat="1" ht="252">
      <c r="B36" s="126" t="s">
        <v>718</v>
      </c>
      <c r="C36" s="126" t="s">
        <v>719</v>
      </c>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K36"/>
      <c r="AP36"/>
      <c r="AR36"/>
      <c r="AS36" s="164"/>
      <c r="AT36" s="164"/>
      <c r="AU36"/>
      <c r="AW36"/>
      <c r="AX36" s="164"/>
      <c r="AY36" s="164"/>
      <c r="AZ36"/>
      <c r="BB36"/>
      <c r="BC36" s="164"/>
      <c r="BD36" s="164"/>
      <c r="BE36"/>
      <c r="BG36"/>
      <c r="BH36" s="164"/>
      <c r="BI36" s="164"/>
      <c r="BJ36"/>
    </row>
    <row r="66" customFormat="1"/>
    <row r="67" customFormat="1"/>
  </sheetData>
  <mergeCells count="90">
    <mergeCell ref="BK2:BN2"/>
    <mergeCell ref="BO2:BO3"/>
    <mergeCell ref="BK19:BN19"/>
    <mergeCell ref="BO19:BO20"/>
    <mergeCell ref="BK28:BN28"/>
    <mergeCell ref="BO28:BO29"/>
    <mergeCell ref="L2:L3"/>
    <mergeCell ref="B2:B3"/>
    <mergeCell ref="C2:C3"/>
    <mergeCell ref="D2:F2"/>
    <mergeCell ref="G2:G3"/>
    <mergeCell ref="H2:K2"/>
    <mergeCell ref="AP2:AP3"/>
    <mergeCell ref="M2:P2"/>
    <mergeCell ref="Q2:Q3"/>
    <mergeCell ref="R2:U2"/>
    <mergeCell ref="V2:V3"/>
    <mergeCell ref="W2:Z2"/>
    <mergeCell ref="AA2:AA3"/>
    <mergeCell ref="AB2:AE2"/>
    <mergeCell ref="AF2:AF3"/>
    <mergeCell ref="AG2:AJ2"/>
    <mergeCell ref="AK2:AK3"/>
    <mergeCell ref="AL2:AO2"/>
    <mergeCell ref="BF2:BI2"/>
    <mergeCell ref="BJ2:BJ3"/>
    <mergeCell ref="B19:B20"/>
    <mergeCell ref="C19:C20"/>
    <mergeCell ref="D19:F19"/>
    <mergeCell ref="G19:G20"/>
    <mergeCell ref="H19:K19"/>
    <mergeCell ref="L19:L20"/>
    <mergeCell ref="M19:P19"/>
    <mergeCell ref="Q19:Q20"/>
    <mergeCell ref="AQ2:AT2"/>
    <mergeCell ref="AU2:AU3"/>
    <mergeCell ref="AV2:AY2"/>
    <mergeCell ref="AZ2:AZ3"/>
    <mergeCell ref="BA2:BD2"/>
    <mergeCell ref="BE2:BE3"/>
    <mergeCell ref="BF19:BI19"/>
    <mergeCell ref="BJ19:BJ20"/>
    <mergeCell ref="AG19:AJ19"/>
    <mergeCell ref="AK19:AK20"/>
    <mergeCell ref="AL19:AO19"/>
    <mergeCell ref="AP19:AP20"/>
    <mergeCell ref="AQ19:AT19"/>
    <mergeCell ref="AU19:AU20"/>
    <mergeCell ref="L28:L29"/>
    <mergeCell ref="AV19:AY19"/>
    <mergeCell ref="AZ19:AZ20"/>
    <mergeCell ref="BA19:BD19"/>
    <mergeCell ref="BE19:BE20"/>
    <mergeCell ref="R19:U19"/>
    <mergeCell ref="V19:V20"/>
    <mergeCell ref="W19:Z19"/>
    <mergeCell ref="AA19:AA20"/>
    <mergeCell ref="AB19:AE19"/>
    <mergeCell ref="AF19:AF20"/>
    <mergeCell ref="AP28:AP29"/>
    <mergeCell ref="M28:P28"/>
    <mergeCell ref="Q28:Q29"/>
    <mergeCell ref="R28:U28"/>
    <mergeCell ref="V28:V29"/>
    <mergeCell ref="B28:B29"/>
    <mergeCell ref="C28:C29"/>
    <mergeCell ref="D28:F28"/>
    <mergeCell ref="G28:G29"/>
    <mergeCell ref="H28:K28"/>
    <mergeCell ref="W28:Z28"/>
    <mergeCell ref="AA28:AA29"/>
    <mergeCell ref="AB28:AE28"/>
    <mergeCell ref="AF28:AF29"/>
    <mergeCell ref="AG28:AJ28"/>
    <mergeCell ref="AK28:AK29"/>
    <mergeCell ref="AL28:AO28"/>
    <mergeCell ref="BF28:BI28"/>
    <mergeCell ref="BJ28:BJ29"/>
    <mergeCell ref="AQ28:AT28"/>
    <mergeCell ref="AU28:AU29"/>
    <mergeCell ref="AV28:AY28"/>
    <mergeCell ref="AZ28:AZ29"/>
    <mergeCell ref="BA28:BD28"/>
    <mergeCell ref="BE28:BE29"/>
    <mergeCell ref="BP2:BS2"/>
    <mergeCell ref="BT2:BT3"/>
    <mergeCell ref="BP19:BS19"/>
    <mergeCell ref="BT19:BT20"/>
    <mergeCell ref="BP28:BS28"/>
    <mergeCell ref="BT28:BT29"/>
  </mergeCells>
  <pageMargins left="0.7" right="0.7" top="0.75" bottom="0.75" header="0.3" footer="0.3"/>
  <pageSetup paperSize="9" orientation="portrait"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O717"/>
  <sheetViews>
    <sheetView showGridLines="0" zoomScale="85" zoomScaleNormal="85" zoomScaleSheetLayoutView="100" workbookViewId="0">
      <pane xSplit="2" topLeftCell="N1" activePane="topRight" state="frozen"/>
      <selection pane="topRight" activeCell="J25" sqref="J25"/>
    </sheetView>
  </sheetViews>
  <sheetFormatPr defaultColWidth="9" defaultRowHeight="14.6"/>
  <cols>
    <col min="1" max="1" width="40" style="144" customWidth="1"/>
    <col min="2" max="2" width="34.28515625" style="144" customWidth="1"/>
    <col min="3" max="3" width="9.2109375" style="143" bestFit="1" customWidth="1"/>
    <col min="4" max="7" width="9" style="143"/>
    <col min="8" max="8" width="9.2109375" style="143" bestFit="1" customWidth="1"/>
    <col min="9" max="10" width="9" style="143"/>
    <col min="11" max="11" width="9.7109375" style="143" bestFit="1" customWidth="1"/>
    <col min="12" max="431" width="9" style="143"/>
    <col min="432" max="16384" width="9" style="144"/>
  </cols>
  <sheetData>
    <row r="1" spans="1:431" ht="89.25" customHeight="1">
      <c r="A1" s="2"/>
      <c r="B1" s="3"/>
      <c r="C1" s="782"/>
      <c r="D1" s="782"/>
      <c r="E1" s="782"/>
      <c r="F1" s="782"/>
      <c r="G1" s="782"/>
      <c r="H1" s="782"/>
      <c r="I1" s="782"/>
      <c r="J1" s="782"/>
      <c r="K1" s="782"/>
      <c r="L1" s="782"/>
      <c r="M1" s="782"/>
      <c r="N1" s="782"/>
      <c r="O1" s="782"/>
      <c r="P1" s="782"/>
      <c r="Q1" s="782"/>
      <c r="R1" s="782"/>
      <c r="S1" s="782"/>
      <c r="T1" s="782"/>
      <c r="U1" s="782"/>
      <c r="V1" s="782"/>
      <c r="W1" s="782"/>
      <c r="X1" s="782"/>
      <c r="Y1" s="782"/>
      <c r="Z1" s="782"/>
      <c r="AA1" s="782"/>
      <c r="AB1" s="782"/>
      <c r="AC1" s="782"/>
      <c r="AD1" s="782"/>
      <c r="AE1" s="782"/>
      <c r="AF1" s="782"/>
      <c r="AG1" s="782"/>
      <c r="AH1" s="782"/>
      <c r="AI1" s="782"/>
      <c r="AJ1" s="782"/>
      <c r="AK1" s="782"/>
      <c r="AL1" s="782"/>
      <c r="AM1" s="782"/>
      <c r="AN1" s="782"/>
      <c r="AO1" s="782"/>
      <c r="AP1" s="782"/>
      <c r="AQ1" s="782"/>
      <c r="AR1" s="782"/>
      <c r="AS1" s="782"/>
      <c r="AT1" s="782"/>
      <c r="AU1" s="782"/>
      <c r="AV1" s="782"/>
      <c r="AW1" s="782"/>
      <c r="AX1" s="782"/>
      <c r="AY1" s="782"/>
      <c r="AZ1" s="782"/>
      <c r="BA1" s="782"/>
      <c r="BB1" s="782"/>
      <c r="BC1" s="782"/>
      <c r="BD1" s="782"/>
      <c r="BE1" s="782"/>
      <c r="BF1" s="782"/>
      <c r="BG1" s="782"/>
      <c r="BH1" s="782"/>
      <c r="BI1" s="782"/>
      <c r="BJ1" s="782"/>
      <c r="BK1" s="782"/>
      <c r="BL1" s="782"/>
      <c r="BM1" s="782"/>
      <c r="BN1" s="782"/>
      <c r="BO1" s="782"/>
      <c r="BP1" s="782"/>
      <c r="BQ1" s="782"/>
      <c r="BR1" s="782"/>
      <c r="BS1" s="782"/>
      <c r="BT1" s="782"/>
      <c r="BU1" s="782"/>
      <c r="BV1" s="782"/>
      <c r="BW1" s="782"/>
      <c r="BX1" s="782"/>
      <c r="BY1" s="782"/>
      <c r="BZ1" s="782"/>
      <c r="CA1" s="782"/>
      <c r="CB1" s="782"/>
      <c r="CC1" s="782"/>
      <c r="CD1" s="782"/>
      <c r="CE1" s="782"/>
      <c r="CF1" s="782"/>
      <c r="CG1" s="782"/>
      <c r="CH1" s="782"/>
      <c r="CI1" s="782"/>
      <c r="CJ1" s="782"/>
      <c r="CK1" s="782"/>
      <c r="CL1" s="782"/>
      <c r="CM1" s="782"/>
      <c r="CN1" s="782"/>
      <c r="CO1" s="782"/>
      <c r="CP1" s="782"/>
      <c r="CQ1" s="782"/>
      <c r="CR1" s="782"/>
      <c r="CS1" s="782"/>
      <c r="CT1" s="782"/>
      <c r="CU1" s="782"/>
      <c r="CV1" s="782"/>
      <c r="CW1" s="782"/>
      <c r="CX1" s="782"/>
      <c r="CY1" s="782"/>
      <c r="CZ1" s="782"/>
      <c r="DA1" s="782"/>
      <c r="DB1" s="782"/>
      <c r="DC1" s="782"/>
      <c r="DD1" s="782"/>
      <c r="DE1" s="782"/>
      <c r="DF1" s="782"/>
      <c r="DG1" s="782"/>
      <c r="DH1" s="782"/>
      <c r="DI1" s="782"/>
      <c r="DJ1" s="782"/>
      <c r="DK1" s="782"/>
      <c r="DL1" s="782"/>
      <c r="DM1" s="782"/>
      <c r="DN1" s="782"/>
      <c r="DO1" s="782"/>
      <c r="DP1" s="782"/>
      <c r="DQ1" s="782"/>
      <c r="DR1" s="782"/>
      <c r="DS1" s="782"/>
      <c r="DT1" s="782"/>
      <c r="DU1" s="782"/>
      <c r="DV1" s="782"/>
      <c r="DW1" s="782"/>
      <c r="DX1" s="782"/>
      <c r="DY1" s="782"/>
      <c r="DZ1" s="782"/>
      <c r="EA1" s="782"/>
      <c r="EB1" s="782"/>
      <c r="EC1" s="782"/>
      <c r="ED1" s="782"/>
      <c r="EE1" s="782"/>
      <c r="EF1" s="782"/>
      <c r="EG1" s="782"/>
      <c r="EH1" s="782"/>
      <c r="EI1" s="782"/>
      <c r="EJ1" s="782"/>
      <c r="EK1" s="782"/>
      <c r="EL1" s="782"/>
      <c r="EM1" s="782"/>
      <c r="EN1" s="782"/>
      <c r="EO1" s="782"/>
      <c r="EP1" s="782"/>
      <c r="EQ1" s="782"/>
      <c r="ER1" s="782"/>
      <c r="ES1" s="782"/>
      <c r="ET1" s="782"/>
      <c r="EU1" s="782"/>
      <c r="EV1" s="782"/>
      <c r="EW1" s="782"/>
      <c r="EX1" s="782"/>
      <c r="EY1" s="782"/>
      <c r="EZ1" s="782"/>
      <c r="FA1" s="782"/>
      <c r="FB1" s="782"/>
      <c r="FC1" s="782"/>
      <c r="FD1" s="782"/>
      <c r="FE1" s="782"/>
      <c r="FF1" s="782"/>
      <c r="FG1" s="782"/>
      <c r="FH1" s="782"/>
      <c r="FI1" s="782"/>
      <c r="FJ1" s="782"/>
      <c r="FK1" s="782"/>
      <c r="FL1" s="782"/>
      <c r="FM1" s="782"/>
      <c r="FN1" s="782"/>
      <c r="FO1" s="782"/>
      <c r="FP1" s="782"/>
      <c r="FQ1" s="782"/>
      <c r="FR1" s="782"/>
      <c r="FS1" s="782"/>
      <c r="FT1" s="782"/>
      <c r="FU1" s="782"/>
      <c r="FV1" s="782"/>
      <c r="FW1" s="782"/>
      <c r="FX1" s="782"/>
      <c r="FY1" s="782"/>
      <c r="FZ1" s="782"/>
      <c r="GA1" s="782"/>
      <c r="GB1" s="782"/>
      <c r="GC1" s="782"/>
      <c r="GD1" s="782"/>
      <c r="GE1" s="782"/>
      <c r="GF1" s="782"/>
      <c r="GG1" s="782"/>
      <c r="GH1" s="782"/>
      <c r="GI1" s="782"/>
      <c r="GJ1" s="782"/>
      <c r="GK1" s="782"/>
      <c r="GL1" s="782"/>
      <c r="GM1" s="782"/>
      <c r="GN1" s="782"/>
      <c r="GO1" s="782"/>
      <c r="GP1" s="782"/>
      <c r="GQ1" s="782"/>
      <c r="GR1" s="782"/>
      <c r="GS1" s="782"/>
      <c r="GT1" s="782"/>
      <c r="GU1" s="782"/>
      <c r="GV1" s="782"/>
      <c r="GW1" s="782"/>
      <c r="GX1" s="782"/>
      <c r="GY1" s="782"/>
      <c r="GZ1" s="782"/>
      <c r="HA1" s="782"/>
      <c r="HB1" s="782"/>
      <c r="HC1" s="782"/>
      <c r="HD1" s="782"/>
      <c r="HE1" s="782"/>
      <c r="HF1" s="782"/>
      <c r="HG1" s="782"/>
      <c r="HH1" s="782"/>
      <c r="HI1" s="782"/>
      <c r="HJ1" s="782"/>
      <c r="HK1" s="782"/>
      <c r="HL1" s="782"/>
      <c r="HM1" s="782"/>
      <c r="HN1" s="782"/>
      <c r="HO1" s="782"/>
      <c r="HP1" s="782"/>
      <c r="HQ1" s="782"/>
      <c r="HR1" s="782"/>
      <c r="HS1" s="782"/>
      <c r="HT1" s="782"/>
      <c r="HU1" s="782"/>
      <c r="HV1" s="782"/>
      <c r="HW1" s="782"/>
      <c r="HX1" s="782"/>
      <c r="HY1" s="782"/>
      <c r="HZ1" s="782"/>
      <c r="IA1" s="782"/>
      <c r="IB1" s="782"/>
      <c r="IC1" s="782"/>
      <c r="ID1" s="782"/>
      <c r="IE1" s="782"/>
      <c r="IF1" s="782"/>
      <c r="IG1" s="782"/>
      <c r="IH1" s="782"/>
      <c r="II1" s="782"/>
      <c r="IJ1" s="782"/>
      <c r="IK1" s="782"/>
      <c r="IL1" s="782"/>
      <c r="IM1" s="782"/>
      <c r="IN1" s="782"/>
      <c r="IO1" s="782"/>
      <c r="IP1" s="782"/>
      <c r="IQ1" s="782"/>
      <c r="IR1" s="782"/>
      <c r="IS1" s="782"/>
      <c r="IT1" s="782"/>
      <c r="IU1" s="782"/>
      <c r="IV1" s="782"/>
      <c r="IW1" s="782"/>
      <c r="IX1" s="782"/>
      <c r="IY1" s="782"/>
      <c r="IZ1" s="782"/>
      <c r="JA1" s="782"/>
      <c r="JB1" s="782"/>
      <c r="JC1" s="782"/>
      <c r="JD1" s="782"/>
      <c r="JE1" s="782"/>
      <c r="JF1" s="782"/>
      <c r="JG1" s="782"/>
      <c r="JH1" s="782"/>
      <c r="JI1" s="782"/>
      <c r="JJ1" s="782"/>
      <c r="JK1" s="782"/>
      <c r="JL1" s="782"/>
      <c r="JM1" s="782"/>
      <c r="JN1" s="782"/>
      <c r="JO1" s="782"/>
      <c r="JP1" s="782"/>
      <c r="JQ1" s="782"/>
      <c r="JR1" s="782"/>
      <c r="JS1" s="782"/>
      <c r="JT1" s="782"/>
      <c r="JU1" s="782"/>
      <c r="JV1" s="782"/>
      <c r="JW1" s="782"/>
      <c r="JX1" s="782"/>
      <c r="JY1" s="782"/>
      <c r="JZ1" s="782"/>
      <c r="KA1" s="782"/>
      <c r="KB1" s="782"/>
      <c r="KC1" s="782"/>
      <c r="KD1" s="782"/>
      <c r="KE1" s="782"/>
      <c r="KF1" s="782"/>
      <c r="KG1" s="782"/>
      <c r="KH1" s="782"/>
      <c r="KI1" s="782"/>
      <c r="KJ1" s="782"/>
      <c r="KK1" s="782"/>
      <c r="KL1" s="782"/>
      <c r="KM1" s="782"/>
      <c r="KN1" s="782"/>
      <c r="KO1" s="782"/>
      <c r="KP1" s="782"/>
      <c r="KQ1" s="782"/>
      <c r="KR1" s="782"/>
      <c r="KS1" s="782"/>
      <c r="KT1" s="782"/>
      <c r="KU1" s="782"/>
      <c r="KV1" s="782"/>
      <c r="KW1" s="782"/>
      <c r="KX1" s="782"/>
      <c r="KY1" s="782"/>
      <c r="KZ1" s="782"/>
      <c r="LA1" s="782"/>
      <c r="LB1" s="782"/>
      <c r="LC1" s="782"/>
      <c r="LD1" s="782"/>
      <c r="LE1" s="782"/>
      <c r="LF1" s="782"/>
      <c r="LG1" s="782"/>
      <c r="LH1" s="782"/>
      <c r="LI1" s="782"/>
      <c r="LJ1" s="782"/>
      <c r="LK1" s="782"/>
      <c r="LL1" s="782"/>
      <c r="LM1" s="782"/>
      <c r="LN1" s="782"/>
      <c r="LO1" s="782"/>
      <c r="LP1" s="782"/>
      <c r="LQ1" s="782"/>
      <c r="LR1" s="782"/>
      <c r="LS1" s="782"/>
      <c r="LT1" s="782"/>
      <c r="LU1" s="782"/>
      <c r="LV1" s="782"/>
      <c r="LW1" s="782"/>
      <c r="LX1" s="782"/>
      <c r="LY1" s="782"/>
      <c r="LZ1" s="782"/>
      <c r="MA1" s="782"/>
      <c r="MB1" s="782"/>
      <c r="MC1" s="782"/>
      <c r="MD1" s="782"/>
      <c r="ME1" s="782"/>
      <c r="MF1" s="782"/>
      <c r="MG1" s="782"/>
      <c r="MH1" s="782"/>
      <c r="MI1" s="782"/>
      <c r="MJ1" s="782"/>
      <c r="MK1" s="782"/>
      <c r="ML1" s="782"/>
      <c r="MM1" s="782"/>
      <c r="MN1" s="782"/>
      <c r="MO1" s="782"/>
      <c r="MP1" s="782"/>
      <c r="MQ1" s="782"/>
      <c r="MR1" s="782"/>
      <c r="MS1" s="782"/>
      <c r="MT1" s="782"/>
      <c r="MU1" s="782"/>
      <c r="MV1" s="782"/>
      <c r="MW1" s="782"/>
      <c r="MX1" s="782"/>
      <c r="MY1" s="782"/>
      <c r="MZ1" s="782"/>
      <c r="NA1" s="782"/>
      <c r="NB1" s="782"/>
      <c r="NC1" s="782"/>
      <c r="ND1" s="782"/>
      <c r="NE1" s="782"/>
      <c r="NF1" s="782"/>
      <c r="NG1" s="782"/>
      <c r="NH1" s="782"/>
      <c r="NI1" s="782"/>
      <c r="NJ1" s="782"/>
      <c r="NK1" s="782"/>
      <c r="NL1" s="782"/>
      <c r="NM1" s="782"/>
      <c r="NN1" s="782"/>
      <c r="NO1" s="782"/>
      <c r="NP1" s="782"/>
      <c r="NQ1" s="782"/>
      <c r="NR1" s="782"/>
      <c r="NS1" s="782"/>
      <c r="NT1" s="782"/>
      <c r="NU1" s="782"/>
      <c r="NV1" s="782"/>
      <c r="NW1" s="782"/>
      <c r="NX1" s="782"/>
      <c r="NY1" s="782"/>
      <c r="NZ1" s="782"/>
      <c r="OA1" s="782"/>
      <c r="OB1" s="782"/>
      <c r="OC1" s="782"/>
      <c r="OD1" s="782"/>
      <c r="OE1" s="782"/>
      <c r="OF1" s="782"/>
      <c r="OG1" s="782"/>
      <c r="OH1" s="782"/>
      <c r="OI1" s="782"/>
      <c r="OJ1" s="782"/>
      <c r="OK1" s="782"/>
      <c r="OL1" s="782"/>
      <c r="OM1" s="782"/>
      <c r="ON1" s="782"/>
      <c r="OO1" s="782"/>
      <c r="OP1" s="782"/>
      <c r="OQ1" s="782"/>
      <c r="OR1" s="782"/>
      <c r="OS1" s="782"/>
      <c r="OT1" s="782"/>
      <c r="OU1" s="782"/>
      <c r="OV1" s="782"/>
      <c r="OW1" s="782"/>
      <c r="OX1" s="782"/>
      <c r="OY1" s="782"/>
      <c r="OZ1" s="782"/>
      <c r="PA1" s="782"/>
      <c r="PB1" s="782"/>
      <c r="PC1" s="782"/>
      <c r="PD1" s="782"/>
      <c r="PE1" s="782"/>
      <c r="PF1" s="782"/>
      <c r="PG1" s="782"/>
      <c r="PH1" s="782"/>
      <c r="PI1" s="782"/>
      <c r="PJ1" s="782"/>
      <c r="PK1" s="782"/>
      <c r="PL1" s="782"/>
      <c r="PM1" s="782"/>
      <c r="PN1" s="782"/>
      <c r="PO1" s="782"/>
    </row>
    <row r="2" spans="1:431" s="753" customFormat="1" ht="32.15" customHeight="1">
      <c r="A2" s="380"/>
      <c r="B2" s="380"/>
      <c r="C2" s="992">
        <v>2022</v>
      </c>
      <c r="D2" s="992"/>
      <c r="E2" s="992"/>
      <c r="F2" s="992"/>
      <c r="G2" s="992"/>
      <c r="H2" s="992">
        <v>2023</v>
      </c>
      <c r="I2" s="992"/>
      <c r="J2" s="992"/>
      <c r="K2" s="992"/>
      <c r="L2" s="992"/>
      <c r="M2" s="992">
        <v>2024</v>
      </c>
      <c r="N2" s="992"/>
      <c r="O2" s="992"/>
      <c r="P2" s="992"/>
      <c r="Q2" s="992"/>
      <c r="R2" s="992">
        <v>2025</v>
      </c>
      <c r="S2" s="992"/>
      <c r="T2" s="992"/>
      <c r="U2" s="992"/>
      <c r="V2" s="992"/>
    </row>
    <row r="3" spans="1:431" s="753" customFormat="1" ht="16.5" customHeight="1" thickBot="1">
      <c r="A3" s="487"/>
      <c r="B3" s="384"/>
      <c r="C3" s="389" t="s">
        <v>21</v>
      </c>
      <c r="D3" s="389" t="s">
        <v>22</v>
      </c>
      <c r="E3" s="390" t="s">
        <v>23</v>
      </c>
      <c r="F3" s="389" t="s">
        <v>24</v>
      </c>
      <c r="G3" s="389">
        <v>2022</v>
      </c>
      <c r="H3" s="389" t="s">
        <v>21</v>
      </c>
      <c r="I3" s="389" t="s">
        <v>22</v>
      </c>
      <c r="J3" s="390" t="s">
        <v>23</v>
      </c>
      <c r="K3" s="389" t="s">
        <v>24</v>
      </c>
      <c r="L3" s="389">
        <v>2023</v>
      </c>
      <c r="M3" s="389" t="s">
        <v>21</v>
      </c>
      <c r="N3" s="389" t="s">
        <v>22</v>
      </c>
      <c r="O3" s="390" t="s">
        <v>23</v>
      </c>
      <c r="P3" s="389" t="s">
        <v>24</v>
      </c>
      <c r="Q3" s="389">
        <v>2024</v>
      </c>
      <c r="R3" s="389" t="s">
        <v>21</v>
      </c>
      <c r="S3" s="389" t="s">
        <v>22</v>
      </c>
      <c r="T3" s="390" t="s">
        <v>23</v>
      </c>
      <c r="U3" s="389" t="s">
        <v>24</v>
      </c>
      <c r="V3" s="389">
        <v>2024</v>
      </c>
    </row>
    <row r="4" spans="1:431" s="59" customFormat="1" ht="26.7" customHeight="1" thickBot="1">
      <c r="A4" s="490" t="s">
        <v>720</v>
      </c>
      <c r="B4" s="511" t="s">
        <v>721</v>
      </c>
      <c r="C4" s="752">
        <f t="shared" ref="C4:L4" si="0">SUM(C5:C7)</f>
        <v>82.8</v>
      </c>
      <c r="D4" s="752">
        <f t="shared" si="0"/>
        <v>109.6</v>
      </c>
      <c r="E4" s="752">
        <f t="shared" si="0"/>
        <v>135.9</v>
      </c>
      <c r="F4" s="752">
        <f t="shared" si="0"/>
        <v>176.6</v>
      </c>
      <c r="G4" s="503">
        <f t="shared" si="0"/>
        <v>504.9</v>
      </c>
      <c r="H4" s="752">
        <f t="shared" si="0"/>
        <v>149.30000000000001</v>
      </c>
      <c r="I4" s="752">
        <f t="shared" si="0"/>
        <v>145.1</v>
      </c>
      <c r="J4" s="392">
        <f t="shared" si="0"/>
        <v>191.3</v>
      </c>
      <c r="K4" s="392">
        <f t="shared" si="0"/>
        <v>179.3</v>
      </c>
      <c r="L4" s="723">
        <f t="shared" si="0"/>
        <v>665</v>
      </c>
      <c r="M4" s="752">
        <f>SUM(M5:M7)</f>
        <v>198.9</v>
      </c>
      <c r="N4" s="752">
        <f t="shared" ref="N4:P4" si="1">SUM(N5:N7)</f>
        <v>222</v>
      </c>
      <c r="O4" s="752">
        <f t="shared" si="1"/>
        <v>300.60000000000002</v>
      </c>
      <c r="P4" s="392">
        <f t="shared" si="1"/>
        <v>294.90000000000003</v>
      </c>
      <c r="Q4" s="723">
        <f t="shared" ref="Q4" si="2">SUM(Q5:Q7)</f>
        <v>1016.3999999999999</v>
      </c>
      <c r="R4" s="752">
        <f>SUM(R5:R7)</f>
        <v>278.29999999999995</v>
      </c>
      <c r="S4" s="752"/>
      <c r="T4" s="752"/>
      <c r="U4" s="392"/>
      <c r="V4" s="723">
        <f t="shared" ref="V4" si="3">SUM(V5:V7)</f>
        <v>278.29999999999995</v>
      </c>
      <c r="W4" s="11"/>
      <c r="X4" s="942"/>
      <c r="Y4" s="943"/>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row>
    <row r="5" spans="1:431" s="756" customFormat="1" ht="26.7" customHeight="1">
      <c r="A5" s="799" t="s">
        <v>722</v>
      </c>
      <c r="B5" s="800" t="s">
        <v>723</v>
      </c>
      <c r="C5" s="793">
        <v>69</v>
      </c>
      <c r="D5" s="754">
        <v>80.5</v>
      </c>
      <c r="E5" s="793">
        <v>108.9</v>
      </c>
      <c r="F5" s="754">
        <v>168.5</v>
      </c>
      <c r="G5" s="755">
        <f>SUM(C5:F5)</f>
        <v>426.9</v>
      </c>
      <c r="H5" s="793">
        <v>140</v>
      </c>
      <c r="I5" s="754">
        <v>117.8</v>
      </c>
      <c r="J5" s="793">
        <v>157.1</v>
      </c>
      <c r="K5" s="754">
        <v>150.1</v>
      </c>
      <c r="L5" s="755">
        <f>SUM(H5:K5)</f>
        <v>565</v>
      </c>
      <c r="M5" s="793">
        <v>135.1</v>
      </c>
      <c r="N5" s="754">
        <v>124.2</v>
      </c>
      <c r="O5" s="793">
        <v>187.7</v>
      </c>
      <c r="P5" s="754">
        <v>169.3</v>
      </c>
      <c r="Q5" s="755">
        <f>SUM(M5:P5)</f>
        <v>616.29999999999995</v>
      </c>
      <c r="R5" s="793">
        <v>157.19999999999999</v>
      </c>
      <c r="S5" s="754"/>
      <c r="T5" s="793"/>
      <c r="U5" s="754"/>
      <c r="V5" s="755">
        <f>SUM(R5:U5)</f>
        <v>157.19999999999999</v>
      </c>
      <c r="W5" s="789"/>
      <c r="X5" s="942"/>
      <c r="Y5" s="943"/>
      <c r="Z5" s="789"/>
      <c r="AA5" s="789"/>
      <c r="AB5" s="789"/>
      <c r="AC5" s="789"/>
      <c r="AD5" s="789"/>
      <c r="AE5" s="789"/>
      <c r="AF5" s="789"/>
      <c r="AG5" s="789"/>
      <c r="AH5" s="789"/>
      <c r="AI5" s="789"/>
      <c r="AJ5" s="789"/>
      <c r="AK5" s="789"/>
      <c r="AL5" s="789"/>
      <c r="AM5" s="789"/>
      <c r="AN5" s="789"/>
      <c r="AO5" s="789"/>
      <c r="AP5" s="789"/>
      <c r="AQ5" s="789"/>
      <c r="AR5" s="789"/>
      <c r="AS5" s="789"/>
      <c r="AT5" s="789"/>
      <c r="AU5" s="789"/>
      <c r="AV5" s="789"/>
      <c r="AW5" s="789"/>
      <c r="AX5" s="789"/>
      <c r="AY5" s="789"/>
      <c r="AZ5" s="789"/>
      <c r="BA5" s="789"/>
      <c r="BB5" s="789"/>
      <c r="BC5" s="789"/>
      <c r="BD5" s="789"/>
      <c r="BE5" s="789"/>
      <c r="BF5" s="789"/>
      <c r="BG5" s="789"/>
      <c r="BH5" s="789"/>
      <c r="BI5" s="789"/>
      <c r="BJ5" s="789"/>
      <c r="BK5" s="789"/>
      <c r="BL5" s="789"/>
      <c r="BM5" s="789"/>
      <c r="BN5" s="789"/>
      <c r="BO5" s="789"/>
      <c r="BP5" s="789"/>
      <c r="BQ5" s="789"/>
      <c r="BR5" s="789"/>
      <c r="BS5" s="789"/>
      <c r="BT5" s="789"/>
      <c r="BU5" s="789"/>
      <c r="BV5" s="789"/>
      <c r="BW5" s="789"/>
      <c r="BX5" s="789"/>
      <c r="BY5" s="789"/>
      <c r="BZ5" s="789"/>
      <c r="CA5" s="789"/>
      <c r="CB5" s="789"/>
      <c r="CC5" s="789"/>
      <c r="CD5" s="789"/>
      <c r="CE5" s="789"/>
      <c r="CF5" s="789"/>
      <c r="CG5" s="789"/>
      <c r="CH5" s="789"/>
      <c r="CI5" s="789"/>
      <c r="CJ5" s="789"/>
      <c r="CK5" s="789"/>
      <c r="CL5" s="789"/>
      <c r="CM5" s="789"/>
      <c r="CN5" s="789"/>
      <c r="CO5" s="789"/>
      <c r="CP5" s="789"/>
      <c r="CQ5" s="789"/>
      <c r="CR5" s="789"/>
      <c r="CS5" s="789"/>
      <c r="CT5" s="789"/>
      <c r="CU5" s="789"/>
      <c r="CV5" s="789"/>
      <c r="CW5" s="789"/>
      <c r="CX5" s="789"/>
      <c r="CY5" s="789"/>
      <c r="CZ5" s="789"/>
      <c r="DA5" s="789"/>
      <c r="DB5" s="789"/>
      <c r="DC5" s="789"/>
      <c r="DD5" s="789"/>
      <c r="DE5" s="789"/>
      <c r="DF5" s="789"/>
      <c r="DG5" s="789"/>
      <c r="DH5" s="789"/>
      <c r="DI5" s="789"/>
      <c r="DJ5" s="789"/>
      <c r="DK5" s="789"/>
      <c r="DL5" s="789"/>
      <c r="DM5" s="789"/>
      <c r="DN5" s="789"/>
      <c r="DO5" s="789"/>
      <c r="DP5" s="789"/>
      <c r="DQ5" s="789"/>
      <c r="DR5" s="789"/>
      <c r="DS5" s="789"/>
      <c r="DT5" s="789"/>
      <c r="DU5" s="789"/>
      <c r="DV5" s="789"/>
      <c r="DW5" s="789"/>
      <c r="DX5" s="789"/>
      <c r="DY5" s="789"/>
      <c r="DZ5" s="789"/>
      <c r="EA5" s="789"/>
      <c r="EB5" s="789"/>
      <c r="EC5" s="789"/>
      <c r="ED5" s="789"/>
      <c r="EE5" s="789"/>
      <c r="EF5" s="789"/>
      <c r="EG5" s="789"/>
      <c r="EH5" s="789"/>
      <c r="EI5" s="789"/>
      <c r="EJ5" s="789"/>
      <c r="EK5" s="789"/>
      <c r="EL5" s="789"/>
      <c r="EM5" s="789"/>
      <c r="EN5" s="789"/>
      <c r="EO5" s="789"/>
      <c r="EP5" s="789"/>
      <c r="EQ5" s="789"/>
      <c r="ER5" s="789"/>
      <c r="ES5" s="789"/>
      <c r="ET5" s="789"/>
      <c r="EU5" s="789"/>
      <c r="EV5" s="789"/>
      <c r="EW5" s="789"/>
      <c r="EX5" s="789"/>
      <c r="EY5" s="789"/>
      <c r="EZ5" s="789"/>
      <c r="FA5" s="789"/>
      <c r="FB5" s="789"/>
      <c r="FC5" s="789"/>
      <c r="FD5" s="789"/>
      <c r="FE5" s="789"/>
      <c r="FF5" s="789"/>
      <c r="FG5" s="789"/>
      <c r="FH5" s="789"/>
      <c r="FI5" s="789"/>
      <c r="FJ5" s="789"/>
      <c r="FK5" s="789"/>
      <c r="FL5" s="789"/>
      <c r="FM5" s="789"/>
      <c r="FN5" s="789"/>
      <c r="FO5" s="789"/>
      <c r="FP5" s="789"/>
      <c r="FQ5" s="789"/>
      <c r="FR5" s="789"/>
      <c r="FS5" s="789"/>
      <c r="FT5" s="789"/>
      <c r="FU5" s="789"/>
      <c r="FV5" s="789"/>
      <c r="FW5" s="789"/>
      <c r="FX5" s="789"/>
      <c r="FY5" s="789"/>
      <c r="FZ5" s="789"/>
      <c r="GA5" s="789"/>
      <c r="GB5" s="789"/>
      <c r="GC5" s="789"/>
      <c r="GD5" s="789"/>
      <c r="GE5" s="789"/>
      <c r="GF5" s="789"/>
      <c r="GG5" s="789"/>
      <c r="GH5" s="789"/>
      <c r="GI5" s="789"/>
      <c r="GJ5" s="789"/>
      <c r="GK5" s="789"/>
      <c r="GL5" s="789"/>
      <c r="GM5" s="789"/>
      <c r="GN5" s="789"/>
      <c r="GO5" s="789"/>
      <c r="GP5" s="789"/>
      <c r="GQ5" s="789"/>
      <c r="GR5" s="789"/>
      <c r="GS5" s="789"/>
      <c r="GT5" s="789"/>
      <c r="GU5" s="789"/>
      <c r="GV5" s="789"/>
      <c r="GW5" s="789"/>
      <c r="GX5" s="789"/>
      <c r="GY5" s="789"/>
      <c r="GZ5" s="789"/>
      <c r="HA5" s="789"/>
      <c r="HB5" s="789"/>
      <c r="HC5" s="789"/>
      <c r="HD5" s="789"/>
      <c r="HE5" s="789"/>
      <c r="HF5" s="789"/>
      <c r="HG5" s="789"/>
      <c r="HH5" s="789"/>
      <c r="HI5" s="789"/>
      <c r="HJ5" s="789"/>
      <c r="HK5" s="789"/>
      <c r="HL5" s="789"/>
      <c r="HM5" s="789"/>
      <c r="HN5" s="789"/>
      <c r="HO5" s="789"/>
      <c r="HP5" s="789"/>
      <c r="HQ5" s="789"/>
      <c r="HR5" s="789"/>
      <c r="HS5" s="789"/>
      <c r="HT5" s="789"/>
      <c r="HU5" s="789"/>
      <c r="HV5" s="789"/>
      <c r="HW5" s="789"/>
      <c r="HX5" s="789"/>
      <c r="HY5" s="789"/>
      <c r="HZ5" s="789"/>
      <c r="IA5" s="789"/>
      <c r="IB5" s="789"/>
      <c r="IC5" s="789"/>
      <c r="ID5" s="789"/>
      <c r="IE5" s="789"/>
      <c r="IF5" s="789"/>
      <c r="IG5" s="789"/>
      <c r="IH5" s="789"/>
      <c r="II5" s="789"/>
      <c r="IJ5" s="789"/>
      <c r="IK5" s="789"/>
      <c r="IL5" s="789"/>
      <c r="IM5" s="789"/>
      <c r="IN5" s="789"/>
      <c r="IO5" s="789"/>
      <c r="IP5" s="789"/>
      <c r="IQ5" s="789"/>
      <c r="IR5" s="789"/>
      <c r="IS5" s="789"/>
      <c r="IT5" s="789"/>
      <c r="IU5" s="789"/>
      <c r="IV5" s="789"/>
      <c r="IW5" s="789"/>
      <c r="IX5" s="789"/>
      <c r="IY5" s="789"/>
      <c r="IZ5" s="789"/>
      <c r="JA5" s="789"/>
      <c r="JB5" s="789"/>
      <c r="JC5" s="789"/>
      <c r="JD5" s="789"/>
      <c r="JE5" s="789"/>
      <c r="JF5" s="789"/>
      <c r="JG5" s="789"/>
      <c r="JH5" s="789"/>
      <c r="JI5" s="789"/>
      <c r="JJ5" s="789"/>
      <c r="JK5" s="789"/>
      <c r="JL5" s="789"/>
      <c r="JM5" s="789"/>
      <c r="JN5" s="789"/>
      <c r="JO5" s="789"/>
      <c r="JP5" s="789"/>
      <c r="JQ5" s="789"/>
      <c r="JR5" s="789"/>
      <c r="JS5" s="789"/>
      <c r="JT5" s="789"/>
      <c r="JU5" s="789"/>
      <c r="JV5" s="789"/>
      <c r="JW5" s="789"/>
      <c r="JX5" s="789"/>
      <c r="JY5" s="789"/>
      <c r="JZ5" s="789"/>
      <c r="KA5" s="789"/>
      <c r="KB5" s="789"/>
      <c r="KC5" s="789"/>
      <c r="KD5" s="789"/>
      <c r="KE5" s="789"/>
      <c r="KF5" s="789"/>
      <c r="KG5" s="789"/>
      <c r="KH5" s="789"/>
      <c r="KI5" s="789"/>
      <c r="KJ5" s="789"/>
      <c r="KK5" s="789"/>
      <c r="KL5" s="789"/>
      <c r="KM5" s="789"/>
      <c r="KN5" s="789"/>
      <c r="KO5" s="789"/>
      <c r="KP5" s="789"/>
      <c r="KQ5" s="789"/>
      <c r="KR5" s="789"/>
      <c r="KS5" s="789"/>
      <c r="KT5" s="789"/>
      <c r="KU5" s="789"/>
      <c r="KV5" s="789"/>
      <c r="KW5" s="789"/>
      <c r="KX5" s="789"/>
      <c r="KY5" s="789"/>
      <c r="KZ5" s="789"/>
      <c r="LA5" s="789"/>
      <c r="LB5" s="789"/>
      <c r="LC5" s="789"/>
      <c r="LD5" s="789"/>
      <c r="LE5" s="789"/>
      <c r="LF5" s="789"/>
      <c r="LG5" s="789"/>
      <c r="LH5" s="789"/>
      <c r="LI5" s="789"/>
      <c r="LJ5" s="789"/>
      <c r="LK5" s="789"/>
      <c r="LL5" s="789"/>
      <c r="LM5" s="789"/>
      <c r="LN5" s="789"/>
      <c r="LO5" s="789"/>
      <c r="LP5" s="789"/>
      <c r="LQ5" s="789"/>
      <c r="LR5" s="789"/>
      <c r="LS5" s="789"/>
      <c r="LT5" s="789"/>
      <c r="LU5" s="789"/>
      <c r="LV5" s="789"/>
      <c r="LW5" s="789"/>
      <c r="LX5" s="789"/>
      <c r="LY5" s="789"/>
      <c r="LZ5" s="789"/>
      <c r="MA5" s="789"/>
      <c r="MB5" s="789"/>
      <c r="MC5" s="789"/>
      <c r="MD5" s="789"/>
      <c r="ME5" s="789"/>
      <c r="MF5" s="789"/>
      <c r="MG5" s="789"/>
      <c r="MH5" s="789"/>
      <c r="MI5" s="789"/>
      <c r="MJ5" s="789"/>
      <c r="MK5" s="789"/>
      <c r="ML5" s="789"/>
      <c r="MM5" s="789"/>
      <c r="MN5" s="789"/>
      <c r="MO5" s="789"/>
      <c r="MP5" s="789"/>
      <c r="MQ5" s="789"/>
      <c r="MR5" s="789"/>
      <c r="MS5" s="789"/>
      <c r="MT5" s="789"/>
      <c r="MU5" s="789"/>
      <c r="MV5" s="789"/>
      <c r="MW5" s="789"/>
      <c r="MX5" s="789"/>
      <c r="MY5" s="789"/>
      <c r="MZ5" s="789"/>
      <c r="NA5" s="789"/>
      <c r="NB5" s="789"/>
      <c r="NC5" s="789"/>
      <c r="ND5" s="789"/>
      <c r="NE5" s="789"/>
      <c r="NF5" s="789"/>
      <c r="NG5" s="789"/>
      <c r="NH5" s="789"/>
      <c r="NI5" s="789"/>
      <c r="NJ5" s="789"/>
      <c r="NK5" s="789"/>
      <c r="NL5" s="789"/>
      <c r="NM5" s="789"/>
      <c r="NN5" s="789"/>
      <c r="NO5" s="789"/>
      <c r="NP5" s="789"/>
      <c r="NQ5" s="789"/>
      <c r="NR5" s="789"/>
      <c r="NS5" s="789"/>
      <c r="NT5" s="789"/>
      <c r="NU5" s="789"/>
      <c r="NV5" s="789"/>
      <c r="NW5" s="789"/>
      <c r="NX5" s="789"/>
      <c r="NY5" s="789"/>
      <c r="NZ5" s="789"/>
      <c r="OA5" s="789"/>
      <c r="OB5" s="789"/>
      <c r="OC5" s="789"/>
      <c r="OD5" s="789"/>
      <c r="OE5" s="789"/>
      <c r="OF5" s="789"/>
      <c r="OG5" s="789"/>
      <c r="OH5" s="789"/>
      <c r="OI5" s="789"/>
      <c r="OJ5" s="789"/>
      <c r="OK5" s="789"/>
      <c r="OL5" s="789"/>
      <c r="OM5" s="789"/>
      <c r="ON5" s="789"/>
      <c r="OO5" s="789"/>
      <c r="OP5" s="789"/>
      <c r="OQ5" s="789"/>
      <c r="OR5" s="789"/>
      <c r="OS5" s="789"/>
      <c r="OT5" s="789"/>
      <c r="OU5" s="789"/>
      <c r="OV5" s="789"/>
      <c r="OW5" s="789"/>
      <c r="OX5" s="789"/>
      <c r="OY5" s="789"/>
      <c r="OZ5" s="789"/>
      <c r="PA5" s="789"/>
      <c r="PB5" s="789"/>
      <c r="PC5" s="789"/>
      <c r="PD5" s="789"/>
      <c r="PE5" s="789"/>
      <c r="PF5" s="789"/>
      <c r="PG5" s="789"/>
      <c r="PH5" s="789"/>
      <c r="PI5" s="789"/>
      <c r="PJ5" s="789"/>
      <c r="PK5" s="789"/>
      <c r="PL5" s="789"/>
      <c r="PM5" s="789"/>
      <c r="PN5" s="789"/>
      <c r="PO5" s="789"/>
    </row>
    <row r="6" spans="1:431" s="756" customFormat="1" ht="26.7" customHeight="1">
      <c r="A6" s="799" t="s">
        <v>724</v>
      </c>
      <c r="B6" s="800" t="s">
        <v>725</v>
      </c>
      <c r="C6" s="793">
        <v>13.8</v>
      </c>
      <c r="D6" s="754">
        <v>29.1</v>
      </c>
      <c r="E6" s="793">
        <v>27</v>
      </c>
      <c r="F6" s="754">
        <v>8.1</v>
      </c>
      <c r="G6" s="755">
        <f t="shared" ref="G6:G7" si="4">SUM(C6:F6)</f>
        <v>78</v>
      </c>
      <c r="H6" s="793">
        <v>9.3000000000000007</v>
      </c>
      <c r="I6" s="754">
        <v>27.3</v>
      </c>
      <c r="J6" s="793">
        <v>27.9</v>
      </c>
      <c r="K6" s="754">
        <v>7.8</v>
      </c>
      <c r="L6" s="755">
        <f t="shared" ref="L6:L7" si="5">SUM(H6:K6)</f>
        <v>72.3</v>
      </c>
      <c r="M6" s="793">
        <v>11.9</v>
      </c>
      <c r="N6" s="754">
        <v>33.299999999999997</v>
      </c>
      <c r="O6" s="793">
        <v>31.8</v>
      </c>
      <c r="P6" s="754">
        <v>9.4</v>
      </c>
      <c r="Q6" s="755">
        <f t="shared" ref="Q6:Q7" si="6">SUM(M6:P6)</f>
        <v>86.4</v>
      </c>
      <c r="R6" s="793">
        <v>15.7</v>
      </c>
      <c r="S6" s="754"/>
      <c r="T6" s="793"/>
      <c r="U6" s="754"/>
      <c r="V6" s="755">
        <f t="shared" ref="V6:V7" si="7">SUM(R6:U6)</f>
        <v>15.7</v>
      </c>
      <c r="W6" s="789"/>
      <c r="X6" s="942"/>
      <c r="Y6" s="943"/>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89"/>
      <c r="AY6" s="789"/>
      <c r="AZ6" s="789"/>
      <c r="BA6" s="789"/>
      <c r="BB6" s="789"/>
      <c r="BC6" s="789"/>
      <c r="BD6" s="789"/>
      <c r="BE6" s="789"/>
      <c r="BF6" s="789"/>
      <c r="BG6" s="789"/>
      <c r="BH6" s="789"/>
      <c r="BI6" s="789"/>
      <c r="BJ6" s="789"/>
      <c r="BK6" s="789"/>
      <c r="BL6" s="789"/>
      <c r="BM6" s="789"/>
      <c r="BN6" s="789"/>
      <c r="BO6" s="789"/>
      <c r="BP6" s="789"/>
      <c r="BQ6" s="789"/>
      <c r="BR6" s="789"/>
      <c r="BS6" s="789"/>
      <c r="BT6" s="789"/>
      <c r="BU6" s="789"/>
      <c r="BV6" s="789"/>
      <c r="BW6" s="789"/>
      <c r="BX6" s="789"/>
      <c r="BY6" s="789"/>
      <c r="BZ6" s="789"/>
      <c r="CA6" s="789"/>
      <c r="CB6" s="789"/>
      <c r="CC6" s="789"/>
      <c r="CD6" s="789"/>
      <c r="CE6" s="789"/>
      <c r="CF6" s="789"/>
      <c r="CG6" s="789"/>
      <c r="CH6" s="789"/>
      <c r="CI6" s="789"/>
      <c r="CJ6" s="789"/>
      <c r="CK6" s="789"/>
      <c r="CL6" s="789"/>
      <c r="CM6" s="789"/>
      <c r="CN6" s="789"/>
      <c r="CO6" s="789"/>
      <c r="CP6" s="789"/>
      <c r="CQ6" s="789"/>
      <c r="CR6" s="789"/>
      <c r="CS6" s="789"/>
      <c r="CT6" s="789"/>
      <c r="CU6" s="789"/>
      <c r="CV6" s="789"/>
      <c r="CW6" s="789"/>
      <c r="CX6" s="789"/>
      <c r="CY6" s="789"/>
      <c r="CZ6" s="789"/>
      <c r="DA6" s="789"/>
      <c r="DB6" s="789"/>
      <c r="DC6" s="789"/>
      <c r="DD6" s="789"/>
      <c r="DE6" s="789"/>
      <c r="DF6" s="789"/>
      <c r="DG6" s="789"/>
      <c r="DH6" s="789"/>
      <c r="DI6" s="789"/>
      <c r="DJ6" s="789"/>
      <c r="DK6" s="789"/>
      <c r="DL6" s="789"/>
      <c r="DM6" s="789"/>
      <c r="DN6" s="789"/>
      <c r="DO6" s="789"/>
      <c r="DP6" s="789"/>
      <c r="DQ6" s="789"/>
      <c r="DR6" s="789"/>
      <c r="DS6" s="789"/>
      <c r="DT6" s="789"/>
      <c r="DU6" s="789"/>
      <c r="DV6" s="789"/>
      <c r="DW6" s="789"/>
      <c r="DX6" s="789"/>
      <c r="DY6" s="789"/>
      <c r="DZ6" s="789"/>
      <c r="EA6" s="789"/>
      <c r="EB6" s="789"/>
      <c r="EC6" s="789"/>
      <c r="ED6" s="789"/>
      <c r="EE6" s="789"/>
      <c r="EF6" s="789"/>
      <c r="EG6" s="789"/>
      <c r="EH6" s="789"/>
      <c r="EI6" s="789"/>
      <c r="EJ6" s="789"/>
      <c r="EK6" s="789"/>
      <c r="EL6" s="789"/>
      <c r="EM6" s="789"/>
      <c r="EN6" s="789"/>
      <c r="EO6" s="789"/>
      <c r="EP6" s="789"/>
      <c r="EQ6" s="789"/>
      <c r="ER6" s="789"/>
      <c r="ES6" s="789"/>
      <c r="ET6" s="789"/>
      <c r="EU6" s="789"/>
      <c r="EV6" s="789"/>
      <c r="EW6" s="789"/>
      <c r="EX6" s="789"/>
      <c r="EY6" s="789"/>
      <c r="EZ6" s="789"/>
      <c r="FA6" s="789"/>
      <c r="FB6" s="789"/>
      <c r="FC6" s="789"/>
      <c r="FD6" s="789"/>
      <c r="FE6" s="789"/>
      <c r="FF6" s="789"/>
      <c r="FG6" s="789"/>
      <c r="FH6" s="789"/>
      <c r="FI6" s="789"/>
      <c r="FJ6" s="789"/>
      <c r="FK6" s="789"/>
      <c r="FL6" s="789"/>
      <c r="FM6" s="789"/>
      <c r="FN6" s="789"/>
      <c r="FO6" s="789"/>
      <c r="FP6" s="789"/>
      <c r="FQ6" s="789"/>
      <c r="FR6" s="789"/>
      <c r="FS6" s="789"/>
      <c r="FT6" s="789"/>
      <c r="FU6" s="789"/>
      <c r="FV6" s="789"/>
      <c r="FW6" s="789"/>
      <c r="FX6" s="789"/>
      <c r="FY6" s="789"/>
      <c r="FZ6" s="789"/>
      <c r="GA6" s="789"/>
      <c r="GB6" s="789"/>
      <c r="GC6" s="789"/>
      <c r="GD6" s="789"/>
      <c r="GE6" s="789"/>
      <c r="GF6" s="789"/>
      <c r="GG6" s="789"/>
      <c r="GH6" s="789"/>
      <c r="GI6" s="789"/>
      <c r="GJ6" s="789"/>
      <c r="GK6" s="789"/>
      <c r="GL6" s="789"/>
      <c r="GM6" s="789"/>
      <c r="GN6" s="789"/>
      <c r="GO6" s="789"/>
      <c r="GP6" s="789"/>
      <c r="GQ6" s="789"/>
      <c r="GR6" s="789"/>
      <c r="GS6" s="789"/>
      <c r="GT6" s="789"/>
      <c r="GU6" s="789"/>
      <c r="GV6" s="789"/>
      <c r="GW6" s="789"/>
      <c r="GX6" s="789"/>
      <c r="GY6" s="789"/>
      <c r="GZ6" s="789"/>
      <c r="HA6" s="789"/>
      <c r="HB6" s="789"/>
      <c r="HC6" s="789"/>
      <c r="HD6" s="789"/>
      <c r="HE6" s="789"/>
      <c r="HF6" s="789"/>
      <c r="HG6" s="789"/>
      <c r="HH6" s="789"/>
      <c r="HI6" s="789"/>
      <c r="HJ6" s="789"/>
      <c r="HK6" s="789"/>
      <c r="HL6" s="789"/>
      <c r="HM6" s="789"/>
      <c r="HN6" s="789"/>
      <c r="HO6" s="789"/>
      <c r="HP6" s="789"/>
      <c r="HQ6" s="789"/>
      <c r="HR6" s="789"/>
      <c r="HS6" s="789"/>
      <c r="HT6" s="789"/>
      <c r="HU6" s="789"/>
      <c r="HV6" s="789"/>
      <c r="HW6" s="789"/>
      <c r="HX6" s="789"/>
      <c r="HY6" s="789"/>
      <c r="HZ6" s="789"/>
      <c r="IA6" s="789"/>
      <c r="IB6" s="789"/>
      <c r="IC6" s="789"/>
      <c r="ID6" s="789"/>
      <c r="IE6" s="789"/>
      <c r="IF6" s="789"/>
      <c r="IG6" s="789"/>
      <c r="IH6" s="789"/>
      <c r="II6" s="789"/>
      <c r="IJ6" s="789"/>
      <c r="IK6" s="789"/>
      <c r="IL6" s="789"/>
      <c r="IM6" s="789"/>
      <c r="IN6" s="789"/>
      <c r="IO6" s="789"/>
      <c r="IP6" s="789"/>
      <c r="IQ6" s="789"/>
      <c r="IR6" s="789"/>
      <c r="IS6" s="789"/>
      <c r="IT6" s="789"/>
      <c r="IU6" s="789"/>
      <c r="IV6" s="789"/>
      <c r="IW6" s="789"/>
      <c r="IX6" s="789"/>
      <c r="IY6" s="789"/>
      <c r="IZ6" s="789"/>
      <c r="JA6" s="789"/>
      <c r="JB6" s="789"/>
      <c r="JC6" s="789"/>
      <c r="JD6" s="789"/>
      <c r="JE6" s="789"/>
      <c r="JF6" s="789"/>
      <c r="JG6" s="789"/>
      <c r="JH6" s="789"/>
      <c r="JI6" s="789"/>
      <c r="JJ6" s="789"/>
      <c r="JK6" s="789"/>
      <c r="JL6" s="789"/>
      <c r="JM6" s="789"/>
      <c r="JN6" s="789"/>
      <c r="JO6" s="789"/>
      <c r="JP6" s="789"/>
      <c r="JQ6" s="789"/>
      <c r="JR6" s="789"/>
      <c r="JS6" s="789"/>
      <c r="JT6" s="789"/>
      <c r="JU6" s="789"/>
      <c r="JV6" s="789"/>
      <c r="JW6" s="789"/>
      <c r="JX6" s="789"/>
      <c r="JY6" s="789"/>
      <c r="JZ6" s="789"/>
      <c r="KA6" s="789"/>
      <c r="KB6" s="789"/>
      <c r="KC6" s="789"/>
      <c r="KD6" s="789"/>
      <c r="KE6" s="789"/>
      <c r="KF6" s="789"/>
      <c r="KG6" s="789"/>
      <c r="KH6" s="789"/>
      <c r="KI6" s="789"/>
      <c r="KJ6" s="789"/>
      <c r="KK6" s="789"/>
      <c r="KL6" s="789"/>
      <c r="KM6" s="789"/>
      <c r="KN6" s="789"/>
      <c r="KO6" s="789"/>
      <c r="KP6" s="789"/>
      <c r="KQ6" s="789"/>
      <c r="KR6" s="789"/>
      <c r="KS6" s="789"/>
      <c r="KT6" s="789"/>
      <c r="KU6" s="789"/>
      <c r="KV6" s="789"/>
      <c r="KW6" s="789"/>
      <c r="KX6" s="789"/>
      <c r="KY6" s="789"/>
      <c r="KZ6" s="789"/>
      <c r="LA6" s="789"/>
      <c r="LB6" s="789"/>
      <c r="LC6" s="789"/>
      <c r="LD6" s="789"/>
      <c r="LE6" s="789"/>
      <c r="LF6" s="789"/>
      <c r="LG6" s="789"/>
      <c r="LH6" s="789"/>
      <c r="LI6" s="789"/>
      <c r="LJ6" s="789"/>
      <c r="LK6" s="789"/>
      <c r="LL6" s="789"/>
      <c r="LM6" s="789"/>
      <c r="LN6" s="789"/>
      <c r="LO6" s="789"/>
      <c r="LP6" s="789"/>
      <c r="LQ6" s="789"/>
      <c r="LR6" s="789"/>
      <c r="LS6" s="789"/>
      <c r="LT6" s="789"/>
      <c r="LU6" s="789"/>
      <c r="LV6" s="789"/>
      <c r="LW6" s="789"/>
      <c r="LX6" s="789"/>
      <c r="LY6" s="789"/>
      <c r="LZ6" s="789"/>
      <c r="MA6" s="789"/>
      <c r="MB6" s="789"/>
      <c r="MC6" s="789"/>
      <c r="MD6" s="789"/>
      <c r="ME6" s="789"/>
      <c r="MF6" s="789"/>
      <c r="MG6" s="789"/>
      <c r="MH6" s="789"/>
      <c r="MI6" s="789"/>
      <c r="MJ6" s="789"/>
      <c r="MK6" s="789"/>
      <c r="ML6" s="789"/>
      <c r="MM6" s="789"/>
      <c r="MN6" s="789"/>
      <c r="MO6" s="789"/>
      <c r="MP6" s="789"/>
      <c r="MQ6" s="789"/>
      <c r="MR6" s="789"/>
      <c r="MS6" s="789"/>
      <c r="MT6" s="789"/>
      <c r="MU6" s="789"/>
      <c r="MV6" s="789"/>
      <c r="MW6" s="789"/>
      <c r="MX6" s="789"/>
      <c r="MY6" s="789"/>
      <c r="MZ6" s="789"/>
      <c r="NA6" s="789"/>
      <c r="NB6" s="789"/>
      <c r="NC6" s="789"/>
      <c r="ND6" s="789"/>
      <c r="NE6" s="789"/>
      <c r="NF6" s="789"/>
      <c r="NG6" s="789"/>
      <c r="NH6" s="789"/>
      <c r="NI6" s="789"/>
      <c r="NJ6" s="789"/>
      <c r="NK6" s="789"/>
      <c r="NL6" s="789"/>
      <c r="NM6" s="789"/>
      <c r="NN6" s="789"/>
      <c r="NO6" s="789"/>
      <c r="NP6" s="789"/>
      <c r="NQ6" s="789"/>
      <c r="NR6" s="789"/>
      <c r="NS6" s="789"/>
      <c r="NT6" s="789"/>
      <c r="NU6" s="789"/>
      <c r="NV6" s="789"/>
      <c r="NW6" s="789"/>
      <c r="NX6" s="789"/>
      <c r="NY6" s="789"/>
      <c r="NZ6" s="789"/>
      <c r="OA6" s="789"/>
      <c r="OB6" s="789"/>
      <c r="OC6" s="789"/>
      <c r="OD6" s="789"/>
      <c r="OE6" s="789"/>
      <c r="OF6" s="789"/>
      <c r="OG6" s="789"/>
      <c r="OH6" s="789"/>
      <c r="OI6" s="789"/>
      <c r="OJ6" s="789"/>
      <c r="OK6" s="789"/>
      <c r="OL6" s="789"/>
      <c r="OM6" s="789"/>
      <c r="ON6" s="789"/>
      <c r="OO6" s="789"/>
      <c r="OP6" s="789"/>
      <c r="OQ6" s="789"/>
      <c r="OR6" s="789"/>
      <c r="OS6" s="789"/>
      <c r="OT6" s="789"/>
      <c r="OU6" s="789"/>
      <c r="OV6" s="789"/>
      <c r="OW6" s="789"/>
      <c r="OX6" s="789"/>
      <c r="OY6" s="789"/>
      <c r="OZ6" s="789"/>
      <c r="PA6" s="789"/>
      <c r="PB6" s="789"/>
      <c r="PC6" s="789"/>
      <c r="PD6" s="789"/>
      <c r="PE6" s="789"/>
      <c r="PF6" s="789"/>
      <c r="PG6" s="789"/>
      <c r="PH6" s="789"/>
      <c r="PI6" s="789"/>
      <c r="PJ6" s="789"/>
      <c r="PK6" s="789"/>
      <c r="PL6" s="789"/>
      <c r="PM6" s="789"/>
      <c r="PN6" s="789"/>
      <c r="PO6" s="789"/>
    </row>
    <row r="7" spans="1:431" s="939" customFormat="1" ht="26.7" customHeight="1" thickBot="1">
      <c r="A7" s="929" t="s">
        <v>726</v>
      </c>
      <c r="B7" s="930" t="s">
        <v>727</v>
      </c>
      <c r="C7" s="931" t="s">
        <v>197</v>
      </c>
      <c r="D7" s="932" t="s">
        <v>197</v>
      </c>
      <c r="E7" s="931" t="s">
        <v>197</v>
      </c>
      <c r="F7" s="932" t="s">
        <v>197</v>
      </c>
      <c r="G7" s="933">
        <f t="shared" si="4"/>
        <v>0</v>
      </c>
      <c r="H7" s="934">
        <v>0</v>
      </c>
      <c r="I7" s="934">
        <v>0</v>
      </c>
      <c r="J7" s="935">
        <v>6.3</v>
      </c>
      <c r="K7" s="936">
        <v>21.4</v>
      </c>
      <c r="L7" s="933">
        <f t="shared" si="5"/>
        <v>27.7</v>
      </c>
      <c r="M7" s="935">
        <v>51.9</v>
      </c>
      <c r="N7" s="935">
        <v>64.5</v>
      </c>
      <c r="O7" s="935">
        <v>81.099999999999994</v>
      </c>
      <c r="P7" s="937">
        <v>116.2</v>
      </c>
      <c r="Q7" s="933">
        <f t="shared" si="6"/>
        <v>313.7</v>
      </c>
      <c r="R7" s="935">
        <v>105.4</v>
      </c>
      <c r="S7" s="935"/>
      <c r="T7" s="935"/>
      <c r="U7" s="937"/>
      <c r="V7" s="933">
        <f t="shared" si="7"/>
        <v>105.4</v>
      </c>
      <c r="W7" s="938"/>
      <c r="X7" s="942"/>
      <c r="Y7" s="943"/>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FX7" s="938"/>
      <c r="FY7" s="938"/>
      <c r="FZ7" s="938"/>
      <c r="GA7" s="938"/>
      <c r="GB7" s="938"/>
      <c r="GC7" s="938"/>
      <c r="GD7" s="938"/>
      <c r="GE7" s="938"/>
      <c r="GF7" s="938"/>
      <c r="GG7" s="938"/>
      <c r="GH7" s="938"/>
      <c r="GI7" s="938"/>
      <c r="GJ7" s="938"/>
      <c r="GK7" s="938"/>
      <c r="GL7" s="938"/>
      <c r="GM7" s="938"/>
      <c r="GN7" s="938"/>
      <c r="GO7" s="938"/>
      <c r="GP7" s="938"/>
      <c r="GQ7" s="938"/>
      <c r="GR7" s="938"/>
      <c r="GS7" s="938"/>
      <c r="GT7" s="938"/>
      <c r="GU7" s="938"/>
      <c r="GV7" s="938"/>
      <c r="GW7" s="938"/>
      <c r="GX7" s="938"/>
      <c r="GY7" s="938"/>
      <c r="GZ7" s="938"/>
      <c r="HA7" s="938"/>
      <c r="HB7" s="938"/>
      <c r="HC7" s="938"/>
      <c r="HD7" s="938"/>
      <c r="HE7" s="938"/>
      <c r="HF7" s="938"/>
      <c r="HG7" s="938"/>
      <c r="HH7" s="938"/>
      <c r="HI7" s="938"/>
      <c r="HJ7" s="938"/>
      <c r="HK7" s="938"/>
      <c r="HL7" s="938"/>
      <c r="HM7" s="938"/>
      <c r="HN7" s="938"/>
      <c r="HO7" s="938"/>
      <c r="HP7" s="938"/>
      <c r="HQ7" s="938"/>
      <c r="HR7" s="938"/>
      <c r="HS7" s="938"/>
      <c r="HT7" s="938"/>
      <c r="HU7" s="938"/>
      <c r="HV7" s="938"/>
      <c r="HW7" s="938"/>
      <c r="HX7" s="938"/>
      <c r="HY7" s="938"/>
      <c r="HZ7" s="938"/>
      <c r="IA7" s="938"/>
      <c r="IB7" s="938"/>
      <c r="IC7" s="938"/>
      <c r="ID7" s="938"/>
      <c r="IE7" s="938"/>
      <c r="IF7" s="938"/>
      <c r="IG7" s="938"/>
      <c r="IH7" s="938"/>
      <c r="II7" s="938"/>
      <c r="IJ7" s="938"/>
      <c r="IK7" s="938"/>
      <c r="IL7" s="938"/>
      <c r="IM7" s="938"/>
      <c r="IN7" s="938"/>
      <c r="IO7" s="938"/>
      <c r="IP7" s="938"/>
      <c r="IQ7" s="938"/>
      <c r="IR7" s="938"/>
      <c r="IS7" s="938"/>
      <c r="IT7" s="938"/>
      <c r="IU7" s="938"/>
      <c r="IV7" s="938"/>
      <c r="IW7" s="938"/>
      <c r="IX7" s="938"/>
      <c r="IY7" s="938"/>
      <c r="IZ7" s="938"/>
      <c r="JA7" s="938"/>
      <c r="JB7" s="938"/>
      <c r="JC7" s="938"/>
      <c r="JD7" s="938"/>
      <c r="JE7" s="938"/>
      <c r="JF7" s="938"/>
      <c r="JG7" s="938"/>
      <c r="JH7" s="938"/>
      <c r="JI7" s="938"/>
      <c r="JJ7" s="938"/>
      <c r="JK7" s="938"/>
      <c r="JL7" s="938"/>
      <c r="JM7" s="938"/>
      <c r="JN7" s="938"/>
      <c r="JO7" s="938"/>
      <c r="JP7" s="938"/>
      <c r="JQ7" s="938"/>
      <c r="JR7" s="938"/>
      <c r="JS7" s="938"/>
      <c r="JT7" s="938"/>
      <c r="JU7" s="938"/>
      <c r="JV7" s="938"/>
      <c r="JW7" s="938"/>
      <c r="JX7" s="938"/>
      <c r="JY7" s="938"/>
      <c r="JZ7" s="938"/>
      <c r="KA7" s="938"/>
      <c r="KB7" s="938"/>
      <c r="KC7" s="938"/>
      <c r="KD7" s="938"/>
      <c r="KE7" s="938"/>
      <c r="KF7" s="938"/>
      <c r="KG7" s="938"/>
      <c r="KH7" s="938"/>
      <c r="KI7" s="938"/>
      <c r="KJ7" s="938"/>
      <c r="KK7" s="938"/>
      <c r="KL7" s="938"/>
      <c r="KM7" s="938"/>
      <c r="KN7" s="938"/>
      <c r="KO7" s="938"/>
      <c r="KP7" s="938"/>
      <c r="KQ7" s="938"/>
      <c r="KR7" s="938"/>
      <c r="KS7" s="938"/>
      <c r="KT7" s="938"/>
      <c r="KU7" s="938"/>
      <c r="KV7" s="938"/>
      <c r="KW7" s="938"/>
      <c r="KX7" s="938"/>
      <c r="KY7" s="938"/>
      <c r="KZ7" s="938"/>
      <c r="LA7" s="938"/>
      <c r="LB7" s="938"/>
      <c r="LC7" s="938"/>
      <c r="LD7" s="938"/>
      <c r="LE7" s="938"/>
      <c r="LF7" s="938"/>
      <c r="LG7" s="938"/>
      <c r="LH7" s="938"/>
      <c r="LI7" s="938"/>
      <c r="LJ7" s="938"/>
      <c r="LK7" s="938"/>
      <c r="LL7" s="938"/>
      <c r="LM7" s="938"/>
      <c r="LN7" s="938"/>
      <c r="LO7" s="938"/>
      <c r="LP7" s="938"/>
      <c r="LQ7" s="938"/>
      <c r="LR7" s="938"/>
      <c r="LS7" s="938"/>
      <c r="LT7" s="938"/>
      <c r="LU7" s="938"/>
      <c r="LV7" s="938"/>
      <c r="LW7" s="938"/>
      <c r="LX7" s="938"/>
      <c r="LY7" s="938"/>
      <c r="LZ7" s="938"/>
      <c r="MA7" s="938"/>
      <c r="MB7" s="938"/>
      <c r="MC7" s="938"/>
      <c r="MD7" s="938"/>
      <c r="ME7" s="938"/>
      <c r="MF7" s="938"/>
      <c r="MG7" s="938"/>
      <c r="MH7" s="938"/>
      <c r="MI7" s="938"/>
      <c r="MJ7" s="938"/>
      <c r="MK7" s="938"/>
      <c r="ML7" s="938"/>
      <c r="MM7" s="938"/>
      <c r="MN7" s="938"/>
      <c r="MO7" s="938"/>
      <c r="MP7" s="938"/>
      <c r="MQ7" s="938"/>
      <c r="MR7" s="938"/>
      <c r="MS7" s="938"/>
      <c r="MT7" s="938"/>
      <c r="MU7" s="938"/>
      <c r="MV7" s="938"/>
      <c r="MW7" s="938"/>
      <c r="MX7" s="938"/>
      <c r="MY7" s="938"/>
      <c r="MZ7" s="938"/>
      <c r="NA7" s="938"/>
      <c r="NB7" s="938"/>
      <c r="NC7" s="938"/>
      <c r="ND7" s="938"/>
      <c r="NE7" s="938"/>
      <c r="NF7" s="938"/>
      <c r="NG7" s="938"/>
      <c r="NH7" s="938"/>
      <c r="NI7" s="938"/>
      <c r="NJ7" s="938"/>
      <c r="NK7" s="938"/>
      <c r="NL7" s="938"/>
      <c r="NM7" s="938"/>
      <c r="NN7" s="938"/>
      <c r="NO7" s="938"/>
      <c r="NP7" s="938"/>
      <c r="NQ7" s="938"/>
      <c r="NR7" s="938"/>
      <c r="NS7" s="938"/>
      <c r="NT7" s="938"/>
      <c r="NU7" s="938"/>
      <c r="NV7" s="938"/>
      <c r="NW7" s="938"/>
      <c r="NX7" s="938"/>
      <c r="NY7" s="938"/>
      <c r="NZ7" s="938"/>
      <c r="OA7" s="938"/>
      <c r="OB7" s="938"/>
      <c r="OC7" s="938"/>
      <c r="OD7" s="938"/>
      <c r="OE7" s="938"/>
      <c r="OF7" s="938"/>
      <c r="OG7" s="938"/>
      <c r="OH7" s="938"/>
      <c r="OI7" s="938"/>
      <c r="OJ7" s="938"/>
      <c r="OK7" s="938"/>
      <c r="OL7" s="938"/>
      <c r="OM7" s="938"/>
      <c r="ON7" s="938"/>
      <c r="OO7" s="938"/>
      <c r="OP7" s="938"/>
      <c r="OQ7" s="938"/>
      <c r="OR7" s="938"/>
      <c r="OS7" s="938"/>
      <c r="OT7" s="938"/>
      <c r="OU7" s="938"/>
      <c r="OV7" s="938"/>
      <c r="OW7" s="938"/>
      <c r="OX7" s="938"/>
      <c r="OY7" s="938"/>
      <c r="OZ7" s="938"/>
      <c r="PA7" s="938"/>
      <c r="PB7" s="938"/>
      <c r="PC7" s="938"/>
      <c r="PD7" s="938"/>
      <c r="PE7" s="938"/>
      <c r="PF7" s="938"/>
      <c r="PG7" s="938"/>
      <c r="PH7" s="938"/>
      <c r="PI7" s="938"/>
      <c r="PJ7" s="938"/>
      <c r="PK7" s="938"/>
      <c r="PL7" s="938"/>
      <c r="PM7" s="938"/>
      <c r="PN7" s="938"/>
      <c r="PO7" s="938"/>
    </row>
    <row r="8" spans="1:431" s="143" customFormat="1">
      <c r="A8" s="782"/>
      <c r="B8" s="782"/>
      <c r="C8" s="785"/>
      <c r="D8" s="785"/>
      <c r="E8" s="785"/>
      <c r="F8" s="785"/>
      <c r="G8" s="785"/>
      <c r="H8" s="785"/>
      <c r="I8" s="785"/>
      <c r="J8" s="785"/>
      <c r="K8" s="785"/>
      <c r="L8" s="785"/>
      <c r="M8" s="785"/>
      <c r="N8" s="782"/>
      <c r="O8" s="782"/>
      <c r="P8" s="782"/>
      <c r="Q8" s="782"/>
      <c r="R8" s="782"/>
      <c r="S8" s="782"/>
      <c r="T8" s="782"/>
      <c r="U8" s="782"/>
      <c r="V8" s="782"/>
      <c r="W8" s="782"/>
      <c r="X8" s="782"/>
      <c r="Y8" s="782"/>
      <c r="Z8" s="782"/>
      <c r="AA8" s="782"/>
      <c r="AB8" s="782"/>
      <c r="AC8" s="782"/>
      <c r="AD8" s="782"/>
      <c r="AE8" s="782"/>
      <c r="AF8" s="782"/>
      <c r="AG8" s="782"/>
      <c r="AH8" s="782"/>
      <c r="AI8" s="782"/>
      <c r="AJ8" s="782"/>
      <c r="AK8" s="782"/>
      <c r="AL8" s="782"/>
      <c r="AM8" s="782"/>
      <c r="AN8" s="782"/>
      <c r="AO8" s="782"/>
      <c r="AP8" s="782"/>
      <c r="AQ8" s="782"/>
      <c r="AR8" s="782"/>
      <c r="AS8" s="782"/>
      <c r="AT8" s="782"/>
      <c r="AU8" s="782"/>
      <c r="AV8" s="782"/>
      <c r="AW8" s="782"/>
      <c r="AX8" s="782"/>
      <c r="AY8" s="782"/>
      <c r="AZ8" s="782"/>
      <c r="BA8" s="782"/>
      <c r="BB8" s="782"/>
      <c r="BC8" s="782"/>
      <c r="BD8" s="782"/>
      <c r="BE8" s="782"/>
      <c r="BF8" s="782"/>
      <c r="BG8" s="782"/>
      <c r="BH8" s="782"/>
      <c r="BI8" s="782"/>
      <c r="BJ8" s="782"/>
      <c r="BK8" s="782"/>
      <c r="BL8" s="782"/>
      <c r="BM8" s="782"/>
      <c r="BN8" s="782"/>
      <c r="BO8" s="782"/>
      <c r="BP8" s="782"/>
      <c r="BQ8" s="782"/>
      <c r="BR8" s="782"/>
      <c r="BS8" s="782"/>
      <c r="BT8" s="782"/>
      <c r="BU8" s="782"/>
      <c r="BV8" s="782"/>
      <c r="BW8" s="782"/>
      <c r="BX8" s="782"/>
      <c r="BY8" s="782"/>
      <c r="BZ8" s="782"/>
      <c r="CA8" s="782"/>
      <c r="CB8" s="782"/>
      <c r="CC8" s="782"/>
      <c r="CD8" s="782"/>
      <c r="CE8" s="782"/>
      <c r="CF8" s="782"/>
      <c r="CG8" s="782"/>
      <c r="CH8" s="782"/>
      <c r="CI8" s="782"/>
      <c r="CJ8" s="782"/>
      <c r="CK8" s="782"/>
      <c r="CL8" s="782"/>
      <c r="CM8" s="782"/>
      <c r="CN8" s="782"/>
      <c r="CO8" s="782"/>
      <c r="CP8" s="782"/>
      <c r="CQ8" s="782"/>
      <c r="CR8" s="782"/>
      <c r="CS8" s="782"/>
      <c r="CT8" s="782"/>
      <c r="CU8" s="782"/>
      <c r="CV8" s="782"/>
      <c r="CW8" s="782"/>
      <c r="CX8" s="782"/>
      <c r="CY8" s="782"/>
      <c r="CZ8" s="782"/>
      <c r="DA8" s="782"/>
      <c r="DB8" s="782"/>
      <c r="DC8" s="782"/>
      <c r="DD8" s="782"/>
      <c r="DE8" s="782"/>
      <c r="DF8" s="782"/>
      <c r="DG8" s="782"/>
      <c r="DH8" s="782"/>
      <c r="DI8" s="782"/>
      <c r="DJ8" s="782"/>
      <c r="DK8" s="782"/>
      <c r="DL8" s="782"/>
      <c r="DM8" s="782"/>
      <c r="DN8" s="782"/>
      <c r="DO8" s="782"/>
      <c r="DP8" s="782"/>
      <c r="DQ8" s="782"/>
      <c r="DR8" s="782"/>
      <c r="DS8" s="782"/>
      <c r="DT8" s="782"/>
      <c r="DU8" s="782"/>
      <c r="DV8" s="782"/>
      <c r="DW8" s="782"/>
      <c r="DX8" s="782"/>
      <c r="DY8" s="782"/>
      <c r="DZ8" s="782"/>
      <c r="EA8" s="782"/>
      <c r="EB8" s="782"/>
      <c r="EC8" s="782"/>
      <c r="ED8" s="782"/>
      <c r="EE8" s="782"/>
      <c r="EF8" s="782"/>
      <c r="EG8" s="782"/>
      <c r="EH8" s="782"/>
      <c r="EI8" s="782"/>
      <c r="EJ8" s="782"/>
      <c r="EK8" s="782"/>
      <c r="EL8" s="782"/>
      <c r="EM8" s="782"/>
      <c r="EN8" s="782"/>
      <c r="EO8" s="782"/>
      <c r="EP8" s="782"/>
      <c r="EQ8" s="782"/>
      <c r="ER8" s="782"/>
      <c r="ES8" s="782"/>
      <c r="ET8" s="782"/>
      <c r="EU8" s="782"/>
      <c r="EV8" s="782"/>
      <c r="EW8" s="782"/>
      <c r="EX8" s="782"/>
      <c r="EY8" s="782"/>
      <c r="EZ8" s="782"/>
      <c r="FA8" s="782"/>
      <c r="FB8" s="782"/>
      <c r="FC8" s="782"/>
      <c r="FD8" s="782"/>
      <c r="FE8" s="782"/>
      <c r="FF8" s="782"/>
      <c r="FG8" s="782"/>
      <c r="FH8" s="782"/>
      <c r="FI8" s="782"/>
      <c r="FJ8" s="782"/>
      <c r="FK8" s="782"/>
      <c r="FL8" s="782"/>
      <c r="FM8" s="782"/>
      <c r="FN8" s="782"/>
      <c r="FO8" s="782"/>
      <c r="FP8" s="782"/>
      <c r="FQ8" s="782"/>
      <c r="FR8" s="782"/>
      <c r="FS8" s="782"/>
      <c r="FT8" s="782"/>
      <c r="FU8" s="782"/>
      <c r="FV8" s="782"/>
      <c r="FW8" s="782"/>
      <c r="FX8" s="782"/>
      <c r="FY8" s="782"/>
      <c r="FZ8" s="782"/>
      <c r="GA8" s="782"/>
      <c r="GB8" s="782"/>
      <c r="GC8" s="782"/>
      <c r="GD8" s="782"/>
      <c r="GE8" s="782"/>
      <c r="GF8" s="782"/>
      <c r="GG8" s="782"/>
      <c r="GH8" s="782"/>
      <c r="GI8" s="782"/>
      <c r="GJ8" s="782"/>
      <c r="GK8" s="782"/>
      <c r="GL8" s="782"/>
      <c r="GM8" s="782"/>
      <c r="GN8" s="782"/>
      <c r="GO8" s="782"/>
      <c r="GP8" s="782"/>
      <c r="GQ8" s="782"/>
      <c r="GR8" s="782"/>
      <c r="GS8" s="782"/>
      <c r="GT8" s="782"/>
      <c r="GU8" s="782"/>
      <c r="GV8" s="782"/>
      <c r="GW8" s="782"/>
      <c r="GX8" s="782"/>
      <c r="GY8" s="782"/>
      <c r="GZ8" s="782"/>
      <c r="HA8" s="782"/>
      <c r="HB8" s="782"/>
      <c r="HC8" s="782"/>
      <c r="HD8" s="782"/>
      <c r="HE8" s="782"/>
      <c r="HF8" s="782"/>
      <c r="HG8" s="782"/>
      <c r="HH8" s="782"/>
      <c r="HI8" s="782"/>
      <c r="HJ8" s="782"/>
      <c r="HK8" s="782"/>
      <c r="HL8" s="782"/>
      <c r="HM8" s="782"/>
      <c r="HN8" s="782"/>
      <c r="HO8" s="782"/>
      <c r="HP8" s="782"/>
      <c r="HQ8" s="782"/>
      <c r="HR8" s="782"/>
      <c r="HS8" s="782"/>
      <c r="HT8" s="782"/>
      <c r="HU8" s="782"/>
      <c r="HV8" s="782"/>
      <c r="HW8" s="782"/>
      <c r="HX8" s="782"/>
      <c r="HY8" s="782"/>
      <c r="HZ8" s="782"/>
      <c r="IA8" s="782"/>
      <c r="IB8" s="782"/>
      <c r="IC8" s="782"/>
      <c r="ID8" s="782"/>
      <c r="IE8" s="782"/>
      <c r="IF8" s="782"/>
      <c r="IG8" s="782"/>
      <c r="IH8" s="782"/>
      <c r="II8" s="782"/>
      <c r="IJ8" s="782"/>
      <c r="IK8" s="782"/>
      <c r="IL8" s="782"/>
      <c r="IM8" s="782"/>
      <c r="IN8" s="782"/>
      <c r="IO8" s="782"/>
      <c r="IP8" s="782"/>
      <c r="IQ8" s="782"/>
      <c r="IR8" s="782"/>
      <c r="IS8" s="782"/>
      <c r="IT8" s="782"/>
      <c r="IU8" s="782"/>
      <c r="IV8" s="782"/>
      <c r="IW8" s="782"/>
      <c r="IX8" s="782"/>
      <c r="IY8" s="782"/>
      <c r="IZ8" s="782"/>
      <c r="JA8" s="782"/>
      <c r="JB8" s="782"/>
      <c r="JC8" s="782"/>
      <c r="JD8" s="782"/>
      <c r="JE8" s="782"/>
      <c r="JF8" s="782"/>
      <c r="JG8" s="782"/>
      <c r="JH8" s="782"/>
      <c r="JI8" s="782"/>
      <c r="JJ8" s="782"/>
      <c r="JK8" s="782"/>
      <c r="JL8" s="782"/>
      <c r="JM8" s="782"/>
      <c r="JN8" s="782"/>
      <c r="JO8" s="782"/>
      <c r="JP8" s="782"/>
      <c r="JQ8" s="782"/>
      <c r="JR8" s="782"/>
      <c r="JS8" s="782"/>
      <c r="JT8" s="782"/>
      <c r="JU8" s="782"/>
      <c r="JV8" s="782"/>
      <c r="JW8" s="782"/>
      <c r="JX8" s="782"/>
      <c r="JY8" s="782"/>
      <c r="JZ8" s="782"/>
      <c r="KA8" s="782"/>
      <c r="KB8" s="782"/>
      <c r="KC8" s="782"/>
      <c r="KD8" s="782"/>
      <c r="KE8" s="782"/>
      <c r="KF8" s="782"/>
      <c r="KG8" s="782"/>
      <c r="KH8" s="782"/>
      <c r="KI8" s="782"/>
      <c r="KJ8" s="782"/>
      <c r="KK8" s="782"/>
      <c r="KL8" s="782"/>
      <c r="KM8" s="782"/>
      <c r="KN8" s="782"/>
      <c r="KO8" s="782"/>
      <c r="KP8" s="782"/>
      <c r="KQ8" s="782"/>
      <c r="KR8" s="782"/>
      <c r="KS8" s="782"/>
      <c r="KT8" s="782"/>
      <c r="KU8" s="782"/>
      <c r="KV8" s="782"/>
      <c r="KW8" s="782"/>
      <c r="KX8" s="782"/>
      <c r="KY8" s="782"/>
      <c r="KZ8" s="782"/>
      <c r="LA8" s="782"/>
      <c r="LB8" s="782"/>
      <c r="LC8" s="782"/>
      <c r="LD8" s="782"/>
      <c r="LE8" s="782"/>
      <c r="LF8" s="782"/>
      <c r="LG8" s="782"/>
      <c r="LH8" s="782"/>
      <c r="LI8" s="782"/>
      <c r="LJ8" s="782"/>
      <c r="LK8" s="782"/>
      <c r="LL8" s="782"/>
      <c r="LM8" s="782"/>
      <c r="LN8" s="782"/>
      <c r="LO8" s="782"/>
      <c r="LP8" s="782"/>
      <c r="LQ8" s="782"/>
      <c r="LR8" s="782"/>
      <c r="LS8" s="782"/>
      <c r="LT8" s="782"/>
      <c r="LU8" s="782"/>
      <c r="LV8" s="782"/>
      <c r="LW8" s="782"/>
      <c r="LX8" s="782"/>
      <c r="LY8" s="782"/>
      <c r="LZ8" s="782"/>
      <c r="MA8" s="782"/>
      <c r="MB8" s="782"/>
      <c r="MC8" s="782"/>
      <c r="MD8" s="782"/>
      <c r="ME8" s="782"/>
      <c r="MF8" s="782"/>
      <c r="MG8" s="782"/>
      <c r="MH8" s="782"/>
      <c r="MI8" s="782"/>
      <c r="MJ8" s="782"/>
      <c r="MK8" s="782"/>
      <c r="ML8" s="782"/>
      <c r="MM8" s="782"/>
      <c r="MN8" s="782"/>
      <c r="MO8" s="782"/>
      <c r="MP8" s="782"/>
      <c r="MQ8" s="782"/>
      <c r="MR8" s="782"/>
      <c r="MS8" s="782"/>
      <c r="MT8" s="782"/>
      <c r="MU8" s="782"/>
      <c r="MV8" s="782"/>
      <c r="MW8" s="782"/>
      <c r="MX8" s="782"/>
      <c r="MY8" s="782"/>
      <c r="MZ8" s="782"/>
      <c r="NA8" s="782"/>
      <c r="NB8" s="782"/>
      <c r="NC8" s="782"/>
      <c r="ND8" s="782"/>
      <c r="NE8" s="782"/>
      <c r="NF8" s="782"/>
      <c r="NG8" s="782"/>
      <c r="NH8" s="782"/>
      <c r="NI8" s="782"/>
      <c r="NJ8" s="782"/>
      <c r="NK8" s="782"/>
      <c r="NL8" s="782"/>
      <c r="NM8" s="782"/>
      <c r="NN8" s="782"/>
      <c r="NO8" s="782"/>
      <c r="NP8" s="782"/>
      <c r="NQ8" s="782"/>
      <c r="NR8" s="782"/>
      <c r="NS8" s="782"/>
      <c r="NT8" s="782"/>
      <c r="NU8" s="782"/>
      <c r="NV8" s="782"/>
      <c r="NW8" s="782"/>
      <c r="NX8" s="782"/>
      <c r="NY8" s="782"/>
      <c r="NZ8" s="782"/>
      <c r="OA8" s="782"/>
      <c r="OB8" s="782"/>
      <c r="OC8" s="782"/>
      <c r="OD8" s="782"/>
      <c r="OE8" s="782"/>
      <c r="OF8" s="782"/>
      <c r="OG8" s="782"/>
      <c r="OH8" s="782"/>
      <c r="OI8" s="782"/>
      <c r="OJ8" s="782"/>
      <c r="OK8" s="782"/>
      <c r="OL8" s="782"/>
      <c r="OM8" s="782"/>
      <c r="ON8" s="782"/>
      <c r="OO8" s="782"/>
      <c r="OP8" s="782"/>
      <c r="OQ8" s="782"/>
      <c r="OR8" s="782"/>
      <c r="OS8" s="782"/>
      <c r="OT8" s="782"/>
      <c r="OU8" s="782"/>
      <c r="OV8" s="782"/>
      <c r="OW8" s="782"/>
      <c r="OX8" s="782"/>
      <c r="OY8" s="782"/>
      <c r="OZ8" s="782"/>
      <c r="PA8" s="782"/>
      <c r="PB8" s="782"/>
      <c r="PC8" s="782"/>
      <c r="PD8" s="782"/>
      <c r="PE8" s="782"/>
      <c r="PF8" s="782"/>
      <c r="PG8" s="782"/>
      <c r="PH8" s="782"/>
      <c r="PI8" s="782"/>
      <c r="PJ8" s="782"/>
      <c r="PK8" s="782"/>
      <c r="PL8" s="782"/>
      <c r="PM8" s="782"/>
      <c r="PN8" s="782"/>
      <c r="PO8" s="782"/>
    </row>
    <row r="9" spans="1:431" s="143" customFormat="1" ht="29.15">
      <c r="A9" s="781" t="s">
        <v>728</v>
      </c>
      <c r="B9" s="781" t="s">
        <v>729</v>
      </c>
      <c r="C9" s="785"/>
      <c r="D9" s="785"/>
      <c r="E9" s="785"/>
      <c r="F9" s="785"/>
      <c r="G9" s="785"/>
      <c r="H9" s="785"/>
      <c r="I9" s="785"/>
      <c r="J9" s="785"/>
      <c r="K9" s="785"/>
      <c r="L9" s="785"/>
      <c r="M9" s="782"/>
      <c r="N9" s="782"/>
      <c r="O9" s="782"/>
      <c r="P9" s="782"/>
      <c r="Q9" s="782"/>
      <c r="R9" s="782"/>
      <c r="S9" s="782"/>
      <c r="T9" s="782"/>
      <c r="U9" s="782"/>
      <c r="V9" s="782"/>
      <c r="W9" s="782"/>
      <c r="X9" s="782"/>
      <c r="Y9" s="782"/>
      <c r="Z9" s="782"/>
      <c r="AA9" s="782"/>
      <c r="AB9" s="782"/>
      <c r="AC9" s="782"/>
      <c r="AD9" s="782"/>
      <c r="AE9" s="782"/>
      <c r="AF9" s="782"/>
      <c r="AG9" s="782"/>
      <c r="AH9" s="782"/>
      <c r="AI9" s="782"/>
      <c r="AJ9" s="782"/>
      <c r="AK9" s="782"/>
      <c r="AL9" s="782"/>
      <c r="AM9" s="782"/>
      <c r="AN9" s="782"/>
      <c r="AO9" s="782"/>
      <c r="AP9" s="782"/>
      <c r="AQ9" s="782"/>
      <c r="AR9" s="782"/>
      <c r="AS9" s="782"/>
      <c r="AT9" s="782"/>
      <c r="AU9" s="782"/>
      <c r="AV9" s="782"/>
      <c r="AW9" s="782"/>
      <c r="AX9" s="782"/>
      <c r="AY9" s="782"/>
      <c r="AZ9" s="782"/>
      <c r="BA9" s="782"/>
      <c r="BB9" s="782"/>
      <c r="BC9" s="782"/>
      <c r="BD9" s="782"/>
      <c r="BE9" s="782"/>
      <c r="BF9" s="782"/>
      <c r="BG9" s="782"/>
      <c r="BH9" s="782"/>
      <c r="BI9" s="782"/>
      <c r="BJ9" s="782"/>
      <c r="BK9" s="782"/>
      <c r="BL9" s="782"/>
      <c r="BM9" s="782"/>
      <c r="BN9" s="782"/>
      <c r="BO9" s="782"/>
      <c r="BP9" s="782"/>
      <c r="BQ9" s="782"/>
      <c r="BR9" s="782"/>
      <c r="BS9" s="782"/>
      <c r="BT9" s="782"/>
      <c r="BU9" s="782"/>
      <c r="BV9" s="782"/>
      <c r="BW9" s="782"/>
      <c r="BX9" s="782"/>
      <c r="BY9" s="782"/>
      <c r="BZ9" s="782"/>
      <c r="CA9" s="782"/>
      <c r="CB9" s="782"/>
      <c r="CC9" s="782"/>
      <c r="CD9" s="782"/>
      <c r="CE9" s="782"/>
      <c r="CF9" s="782"/>
      <c r="CG9" s="782"/>
      <c r="CH9" s="782"/>
      <c r="CI9" s="782"/>
      <c r="CJ9" s="782"/>
      <c r="CK9" s="782"/>
      <c r="CL9" s="782"/>
      <c r="CM9" s="782"/>
      <c r="CN9" s="782"/>
      <c r="CO9" s="782"/>
      <c r="CP9" s="782"/>
      <c r="CQ9" s="782"/>
      <c r="CR9" s="782"/>
      <c r="CS9" s="782"/>
      <c r="CT9" s="782"/>
      <c r="CU9" s="782"/>
      <c r="CV9" s="782"/>
      <c r="CW9" s="782"/>
      <c r="CX9" s="782"/>
      <c r="CY9" s="782"/>
      <c r="CZ9" s="782"/>
      <c r="DA9" s="782"/>
      <c r="DB9" s="782"/>
      <c r="DC9" s="782"/>
      <c r="DD9" s="782"/>
      <c r="DE9" s="782"/>
      <c r="DF9" s="782"/>
      <c r="DG9" s="782"/>
      <c r="DH9" s="782"/>
      <c r="DI9" s="782"/>
      <c r="DJ9" s="782"/>
      <c r="DK9" s="782"/>
      <c r="DL9" s="782"/>
      <c r="DM9" s="782"/>
      <c r="DN9" s="782"/>
      <c r="DO9" s="782"/>
      <c r="DP9" s="782"/>
      <c r="DQ9" s="782"/>
      <c r="DR9" s="782"/>
      <c r="DS9" s="782"/>
      <c r="DT9" s="782"/>
      <c r="DU9" s="782"/>
      <c r="DV9" s="782"/>
      <c r="DW9" s="782"/>
      <c r="DX9" s="782"/>
      <c r="DY9" s="782"/>
      <c r="DZ9" s="782"/>
      <c r="EA9" s="782"/>
      <c r="EB9" s="782"/>
      <c r="EC9" s="782"/>
      <c r="ED9" s="782"/>
      <c r="EE9" s="782"/>
      <c r="EF9" s="782"/>
      <c r="EG9" s="782"/>
      <c r="EH9" s="782"/>
      <c r="EI9" s="782"/>
      <c r="EJ9" s="782"/>
      <c r="EK9" s="782"/>
      <c r="EL9" s="782"/>
      <c r="EM9" s="782"/>
      <c r="EN9" s="782"/>
      <c r="EO9" s="782"/>
      <c r="EP9" s="782"/>
      <c r="EQ9" s="782"/>
      <c r="ER9" s="782"/>
      <c r="ES9" s="782"/>
      <c r="ET9" s="782"/>
      <c r="EU9" s="782"/>
      <c r="EV9" s="782"/>
      <c r="EW9" s="782"/>
      <c r="EX9" s="782"/>
      <c r="EY9" s="782"/>
      <c r="EZ9" s="782"/>
      <c r="FA9" s="782"/>
      <c r="FB9" s="782"/>
      <c r="FC9" s="782"/>
      <c r="FD9" s="782"/>
      <c r="FE9" s="782"/>
      <c r="FF9" s="782"/>
      <c r="FG9" s="782"/>
      <c r="FH9" s="782"/>
      <c r="FI9" s="782"/>
      <c r="FJ9" s="782"/>
      <c r="FK9" s="782"/>
      <c r="FL9" s="782"/>
      <c r="FM9" s="782"/>
      <c r="FN9" s="782"/>
      <c r="FO9" s="782"/>
      <c r="FP9" s="782"/>
      <c r="FQ9" s="782"/>
      <c r="FR9" s="782"/>
      <c r="FS9" s="782"/>
      <c r="FT9" s="782"/>
      <c r="FU9" s="782"/>
      <c r="FV9" s="782"/>
      <c r="FW9" s="782"/>
      <c r="FX9" s="782"/>
      <c r="FY9" s="782"/>
      <c r="FZ9" s="782"/>
      <c r="GA9" s="782"/>
      <c r="GB9" s="782"/>
      <c r="GC9" s="782"/>
      <c r="GD9" s="782"/>
      <c r="GE9" s="782"/>
      <c r="GF9" s="782"/>
      <c r="GG9" s="782"/>
      <c r="GH9" s="782"/>
      <c r="GI9" s="782"/>
      <c r="GJ9" s="782"/>
      <c r="GK9" s="782"/>
      <c r="GL9" s="782"/>
      <c r="GM9" s="782"/>
      <c r="GN9" s="782"/>
      <c r="GO9" s="782"/>
      <c r="GP9" s="782"/>
      <c r="GQ9" s="782"/>
      <c r="GR9" s="782"/>
      <c r="GS9" s="782"/>
      <c r="GT9" s="782"/>
      <c r="GU9" s="782"/>
      <c r="GV9" s="782"/>
      <c r="GW9" s="782"/>
      <c r="GX9" s="782"/>
      <c r="GY9" s="782"/>
      <c r="GZ9" s="782"/>
      <c r="HA9" s="782"/>
      <c r="HB9" s="782"/>
      <c r="HC9" s="782"/>
      <c r="HD9" s="782"/>
      <c r="HE9" s="782"/>
      <c r="HF9" s="782"/>
      <c r="HG9" s="782"/>
      <c r="HH9" s="782"/>
      <c r="HI9" s="782"/>
      <c r="HJ9" s="782"/>
      <c r="HK9" s="782"/>
      <c r="HL9" s="782"/>
      <c r="HM9" s="782"/>
      <c r="HN9" s="782"/>
      <c r="HO9" s="782"/>
      <c r="HP9" s="782"/>
      <c r="HQ9" s="782"/>
      <c r="HR9" s="782"/>
      <c r="HS9" s="782"/>
      <c r="HT9" s="782"/>
      <c r="HU9" s="782"/>
      <c r="HV9" s="782"/>
      <c r="HW9" s="782"/>
      <c r="HX9" s="782"/>
      <c r="HY9" s="782"/>
      <c r="HZ9" s="782"/>
      <c r="IA9" s="782"/>
      <c r="IB9" s="782"/>
      <c r="IC9" s="782"/>
      <c r="ID9" s="782"/>
      <c r="IE9" s="782"/>
      <c r="IF9" s="782"/>
      <c r="IG9" s="782"/>
      <c r="IH9" s="782"/>
      <c r="II9" s="782"/>
      <c r="IJ9" s="782"/>
      <c r="IK9" s="782"/>
      <c r="IL9" s="782"/>
      <c r="IM9" s="782"/>
      <c r="IN9" s="782"/>
      <c r="IO9" s="782"/>
      <c r="IP9" s="782"/>
      <c r="IQ9" s="782"/>
      <c r="IR9" s="782"/>
      <c r="IS9" s="782"/>
      <c r="IT9" s="782"/>
      <c r="IU9" s="782"/>
      <c r="IV9" s="782"/>
      <c r="IW9" s="782"/>
      <c r="IX9" s="782"/>
      <c r="IY9" s="782"/>
      <c r="IZ9" s="782"/>
      <c r="JA9" s="782"/>
      <c r="JB9" s="782"/>
      <c r="JC9" s="782"/>
      <c r="JD9" s="782"/>
      <c r="JE9" s="782"/>
      <c r="JF9" s="782"/>
      <c r="JG9" s="782"/>
      <c r="JH9" s="782"/>
      <c r="JI9" s="782"/>
      <c r="JJ9" s="782"/>
      <c r="JK9" s="782"/>
      <c r="JL9" s="782"/>
      <c r="JM9" s="782"/>
      <c r="JN9" s="782"/>
      <c r="JO9" s="782"/>
      <c r="JP9" s="782"/>
      <c r="JQ9" s="782"/>
      <c r="JR9" s="782"/>
      <c r="JS9" s="782"/>
      <c r="JT9" s="782"/>
      <c r="JU9" s="782"/>
      <c r="JV9" s="782"/>
      <c r="JW9" s="782"/>
      <c r="JX9" s="782"/>
      <c r="JY9" s="782"/>
      <c r="JZ9" s="782"/>
      <c r="KA9" s="782"/>
      <c r="KB9" s="782"/>
      <c r="KC9" s="782"/>
      <c r="KD9" s="782"/>
      <c r="KE9" s="782"/>
      <c r="KF9" s="782"/>
      <c r="KG9" s="782"/>
      <c r="KH9" s="782"/>
      <c r="KI9" s="782"/>
      <c r="KJ9" s="782"/>
      <c r="KK9" s="782"/>
      <c r="KL9" s="782"/>
      <c r="KM9" s="782"/>
      <c r="KN9" s="782"/>
      <c r="KO9" s="782"/>
      <c r="KP9" s="782"/>
      <c r="KQ9" s="782"/>
      <c r="KR9" s="782"/>
      <c r="KS9" s="782"/>
      <c r="KT9" s="782"/>
      <c r="KU9" s="782"/>
      <c r="KV9" s="782"/>
      <c r="KW9" s="782"/>
      <c r="KX9" s="782"/>
      <c r="KY9" s="782"/>
      <c r="KZ9" s="782"/>
      <c r="LA9" s="782"/>
      <c r="LB9" s="782"/>
      <c r="LC9" s="782"/>
      <c r="LD9" s="782"/>
      <c r="LE9" s="782"/>
      <c r="LF9" s="782"/>
      <c r="LG9" s="782"/>
      <c r="LH9" s="782"/>
      <c r="LI9" s="782"/>
      <c r="LJ9" s="782"/>
      <c r="LK9" s="782"/>
      <c r="LL9" s="782"/>
      <c r="LM9" s="782"/>
      <c r="LN9" s="782"/>
      <c r="LO9" s="782"/>
      <c r="LP9" s="782"/>
      <c r="LQ9" s="782"/>
      <c r="LR9" s="782"/>
      <c r="LS9" s="782"/>
      <c r="LT9" s="782"/>
      <c r="LU9" s="782"/>
      <c r="LV9" s="782"/>
      <c r="LW9" s="782"/>
      <c r="LX9" s="782"/>
      <c r="LY9" s="782"/>
      <c r="LZ9" s="782"/>
      <c r="MA9" s="782"/>
      <c r="MB9" s="782"/>
      <c r="MC9" s="782"/>
      <c r="MD9" s="782"/>
      <c r="ME9" s="782"/>
      <c r="MF9" s="782"/>
      <c r="MG9" s="782"/>
      <c r="MH9" s="782"/>
      <c r="MI9" s="782"/>
      <c r="MJ9" s="782"/>
      <c r="MK9" s="782"/>
      <c r="ML9" s="782"/>
      <c r="MM9" s="782"/>
      <c r="MN9" s="782"/>
      <c r="MO9" s="782"/>
      <c r="MP9" s="782"/>
      <c r="MQ9" s="782"/>
      <c r="MR9" s="782"/>
      <c r="MS9" s="782"/>
      <c r="MT9" s="782"/>
      <c r="MU9" s="782"/>
      <c r="MV9" s="782"/>
      <c r="MW9" s="782"/>
      <c r="MX9" s="782"/>
      <c r="MY9" s="782"/>
      <c r="MZ9" s="782"/>
      <c r="NA9" s="782"/>
      <c r="NB9" s="782"/>
      <c r="NC9" s="782"/>
      <c r="ND9" s="782"/>
      <c r="NE9" s="782"/>
      <c r="NF9" s="782"/>
      <c r="NG9" s="782"/>
      <c r="NH9" s="782"/>
      <c r="NI9" s="782"/>
      <c r="NJ9" s="782"/>
      <c r="NK9" s="782"/>
      <c r="NL9" s="782"/>
      <c r="NM9" s="782"/>
      <c r="NN9" s="782"/>
      <c r="NO9" s="782"/>
      <c r="NP9" s="782"/>
      <c r="NQ9" s="782"/>
      <c r="NR9" s="782"/>
      <c r="NS9" s="782"/>
      <c r="NT9" s="782"/>
      <c r="NU9" s="782"/>
      <c r="NV9" s="782"/>
      <c r="NW9" s="782"/>
      <c r="NX9" s="782"/>
      <c r="NY9" s="782"/>
      <c r="NZ9" s="782"/>
      <c r="OA9" s="782"/>
      <c r="OB9" s="782"/>
      <c r="OC9" s="782"/>
      <c r="OD9" s="782"/>
      <c r="OE9" s="782"/>
      <c r="OF9" s="782"/>
      <c r="OG9" s="782"/>
      <c r="OH9" s="782"/>
      <c r="OI9" s="782"/>
      <c r="OJ9" s="782"/>
      <c r="OK9" s="782"/>
      <c r="OL9" s="782"/>
      <c r="OM9" s="782"/>
      <c r="ON9" s="782"/>
      <c r="OO9" s="782"/>
      <c r="OP9" s="782"/>
      <c r="OQ9" s="782"/>
      <c r="OR9" s="782"/>
      <c r="OS9" s="782"/>
      <c r="OT9" s="782"/>
      <c r="OU9" s="782"/>
      <c r="OV9" s="782"/>
      <c r="OW9" s="782"/>
      <c r="OX9" s="782"/>
      <c r="OY9" s="782"/>
      <c r="OZ9" s="782"/>
      <c r="PA9" s="782"/>
      <c r="PB9" s="782"/>
      <c r="PC9" s="782"/>
      <c r="PD9" s="782"/>
      <c r="PE9" s="782"/>
      <c r="PF9" s="782"/>
      <c r="PG9" s="782"/>
      <c r="PH9" s="782"/>
      <c r="PI9" s="782"/>
      <c r="PJ9" s="782"/>
      <c r="PK9" s="782"/>
      <c r="PL9" s="782"/>
      <c r="PM9" s="782"/>
      <c r="PN9" s="782"/>
      <c r="PO9" s="782"/>
    </row>
    <row r="10" spans="1:431" s="143" customFormat="1">
      <c r="A10" s="781"/>
      <c r="B10" s="781"/>
      <c r="C10" s="790"/>
      <c r="D10" s="790"/>
      <c r="E10" s="152"/>
      <c r="F10" s="152"/>
      <c r="G10" s="785"/>
      <c r="H10" s="790"/>
      <c r="I10" s="790"/>
      <c r="J10" s="150"/>
      <c r="K10" s="150"/>
      <c r="L10" s="785"/>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2"/>
      <c r="AY10" s="782"/>
      <c r="AZ10" s="782"/>
      <c r="BA10" s="782"/>
      <c r="BB10" s="782"/>
      <c r="BC10" s="782"/>
      <c r="BD10" s="782"/>
      <c r="BE10" s="782"/>
      <c r="BF10" s="782"/>
      <c r="BG10" s="782"/>
      <c r="BH10" s="782"/>
      <c r="BI10" s="782"/>
      <c r="BJ10" s="782"/>
      <c r="BK10" s="782"/>
      <c r="BL10" s="782"/>
      <c r="BM10" s="782"/>
      <c r="BN10" s="782"/>
      <c r="BO10" s="782"/>
      <c r="BP10" s="782"/>
      <c r="BQ10" s="782"/>
      <c r="BR10" s="782"/>
      <c r="BS10" s="782"/>
      <c r="BT10" s="782"/>
      <c r="BU10" s="782"/>
      <c r="BV10" s="782"/>
      <c r="BW10" s="782"/>
      <c r="BX10" s="782"/>
      <c r="BY10" s="782"/>
      <c r="BZ10" s="782"/>
      <c r="CA10" s="782"/>
      <c r="CB10" s="782"/>
      <c r="CC10" s="782"/>
      <c r="CD10" s="782"/>
      <c r="CE10" s="782"/>
      <c r="CF10" s="782"/>
      <c r="CG10" s="782"/>
      <c r="CH10" s="782"/>
      <c r="CI10" s="782"/>
      <c r="CJ10" s="782"/>
      <c r="CK10" s="782"/>
      <c r="CL10" s="782"/>
      <c r="CM10" s="782"/>
      <c r="CN10" s="782"/>
      <c r="CO10" s="782"/>
      <c r="CP10" s="782"/>
      <c r="CQ10" s="782"/>
      <c r="CR10" s="782"/>
      <c r="CS10" s="782"/>
      <c r="CT10" s="782"/>
      <c r="CU10" s="782"/>
      <c r="CV10" s="782"/>
      <c r="CW10" s="782"/>
      <c r="CX10" s="782"/>
      <c r="CY10" s="782"/>
      <c r="CZ10" s="782"/>
      <c r="DA10" s="782"/>
      <c r="DB10" s="782"/>
      <c r="DC10" s="782"/>
      <c r="DD10" s="782"/>
      <c r="DE10" s="782"/>
      <c r="DF10" s="782"/>
      <c r="DG10" s="782"/>
      <c r="DH10" s="782"/>
      <c r="DI10" s="782"/>
      <c r="DJ10" s="782"/>
      <c r="DK10" s="782"/>
      <c r="DL10" s="782"/>
      <c r="DM10" s="782"/>
      <c r="DN10" s="782"/>
      <c r="DO10" s="782"/>
      <c r="DP10" s="782"/>
      <c r="DQ10" s="782"/>
      <c r="DR10" s="782"/>
      <c r="DS10" s="782"/>
      <c r="DT10" s="782"/>
      <c r="DU10" s="782"/>
      <c r="DV10" s="782"/>
      <c r="DW10" s="782"/>
      <c r="DX10" s="782"/>
      <c r="DY10" s="782"/>
      <c r="DZ10" s="782"/>
      <c r="EA10" s="782"/>
      <c r="EB10" s="782"/>
      <c r="EC10" s="782"/>
      <c r="ED10" s="782"/>
      <c r="EE10" s="782"/>
      <c r="EF10" s="782"/>
      <c r="EG10" s="782"/>
      <c r="EH10" s="782"/>
      <c r="EI10" s="782"/>
      <c r="EJ10" s="782"/>
      <c r="EK10" s="782"/>
      <c r="EL10" s="782"/>
      <c r="EM10" s="782"/>
      <c r="EN10" s="782"/>
      <c r="EO10" s="782"/>
      <c r="EP10" s="782"/>
      <c r="EQ10" s="782"/>
      <c r="ER10" s="782"/>
      <c r="ES10" s="782"/>
      <c r="ET10" s="782"/>
      <c r="EU10" s="782"/>
      <c r="EV10" s="782"/>
      <c r="EW10" s="782"/>
      <c r="EX10" s="782"/>
      <c r="EY10" s="782"/>
      <c r="EZ10" s="782"/>
      <c r="FA10" s="782"/>
      <c r="FB10" s="782"/>
      <c r="FC10" s="782"/>
      <c r="FD10" s="782"/>
      <c r="FE10" s="782"/>
      <c r="FF10" s="782"/>
      <c r="FG10" s="782"/>
      <c r="FH10" s="782"/>
      <c r="FI10" s="782"/>
      <c r="FJ10" s="782"/>
      <c r="FK10" s="782"/>
      <c r="FL10" s="782"/>
      <c r="FM10" s="782"/>
      <c r="FN10" s="782"/>
      <c r="FO10" s="782"/>
      <c r="FP10" s="782"/>
      <c r="FQ10" s="782"/>
      <c r="FR10" s="782"/>
      <c r="FS10" s="782"/>
      <c r="FT10" s="782"/>
      <c r="FU10" s="782"/>
      <c r="FV10" s="782"/>
      <c r="FW10" s="782"/>
      <c r="FX10" s="782"/>
      <c r="FY10" s="782"/>
      <c r="FZ10" s="782"/>
      <c r="GA10" s="782"/>
      <c r="GB10" s="782"/>
      <c r="GC10" s="782"/>
      <c r="GD10" s="782"/>
      <c r="GE10" s="782"/>
      <c r="GF10" s="782"/>
      <c r="GG10" s="782"/>
      <c r="GH10" s="782"/>
      <c r="GI10" s="782"/>
      <c r="GJ10" s="782"/>
      <c r="GK10" s="782"/>
      <c r="GL10" s="782"/>
      <c r="GM10" s="782"/>
      <c r="GN10" s="782"/>
      <c r="GO10" s="782"/>
      <c r="GP10" s="782"/>
      <c r="GQ10" s="782"/>
      <c r="GR10" s="782"/>
      <c r="GS10" s="782"/>
      <c r="GT10" s="782"/>
      <c r="GU10" s="782"/>
      <c r="GV10" s="782"/>
      <c r="GW10" s="782"/>
      <c r="GX10" s="782"/>
      <c r="GY10" s="782"/>
      <c r="GZ10" s="782"/>
      <c r="HA10" s="782"/>
      <c r="HB10" s="782"/>
      <c r="HC10" s="782"/>
      <c r="HD10" s="782"/>
      <c r="HE10" s="782"/>
      <c r="HF10" s="782"/>
      <c r="HG10" s="782"/>
      <c r="HH10" s="782"/>
      <c r="HI10" s="782"/>
      <c r="HJ10" s="782"/>
      <c r="HK10" s="782"/>
      <c r="HL10" s="782"/>
      <c r="HM10" s="782"/>
      <c r="HN10" s="782"/>
      <c r="HO10" s="782"/>
      <c r="HP10" s="782"/>
      <c r="HQ10" s="782"/>
      <c r="HR10" s="782"/>
      <c r="HS10" s="782"/>
      <c r="HT10" s="782"/>
      <c r="HU10" s="782"/>
      <c r="HV10" s="782"/>
      <c r="HW10" s="782"/>
      <c r="HX10" s="782"/>
      <c r="HY10" s="782"/>
      <c r="HZ10" s="782"/>
      <c r="IA10" s="782"/>
      <c r="IB10" s="782"/>
      <c r="IC10" s="782"/>
      <c r="ID10" s="782"/>
      <c r="IE10" s="782"/>
      <c r="IF10" s="782"/>
      <c r="IG10" s="782"/>
      <c r="IH10" s="782"/>
      <c r="II10" s="782"/>
      <c r="IJ10" s="782"/>
      <c r="IK10" s="782"/>
      <c r="IL10" s="782"/>
      <c r="IM10" s="782"/>
      <c r="IN10" s="782"/>
      <c r="IO10" s="782"/>
      <c r="IP10" s="782"/>
      <c r="IQ10" s="782"/>
      <c r="IR10" s="782"/>
      <c r="IS10" s="782"/>
      <c r="IT10" s="782"/>
      <c r="IU10" s="782"/>
      <c r="IV10" s="782"/>
      <c r="IW10" s="782"/>
      <c r="IX10" s="782"/>
      <c r="IY10" s="782"/>
      <c r="IZ10" s="782"/>
      <c r="JA10" s="782"/>
      <c r="JB10" s="782"/>
      <c r="JC10" s="782"/>
      <c r="JD10" s="782"/>
      <c r="JE10" s="782"/>
      <c r="JF10" s="782"/>
      <c r="JG10" s="782"/>
      <c r="JH10" s="782"/>
      <c r="JI10" s="782"/>
      <c r="JJ10" s="782"/>
      <c r="JK10" s="782"/>
      <c r="JL10" s="782"/>
      <c r="JM10" s="782"/>
      <c r="JN10" s="782"/>
      <c r="JO10" s="782"/>
      <c r="JP10" s="782"/>
      <c r="JQ10" s="782"/>
      <c r="JR10" s="782"/>
      <c r="JS10" s="782"/>
      <c r="JT10" s="782"/>
      <c r="JU10" s="782"/>
      <c r="JV10" s="782"/>
      <c r="JW10" s="782"/>
      <c r="JX10" s="782"/>
      <c r="JY10" s="782"/>
      <c r="JZ10" s="782"/>
      <c r="KA10" s="782"/>
      <c r="KB10" s="782"/>
      <c r="KC10" s="782"/>
      <c r="KD10" s="782"/>
      <c r="KE10" s="782"/>
      <c r="KF10" s="782"/>
      <c r="KG10" s="782"/>
      <c r="KH10" s="782"/>
      <c r="KI10" s="782"/>
      <c r="KJ10" s="782"/>
      <c r="KK10" s="782"/>
      <c r="KL10" s="782"/>
      <c r="KM10" s="782"/>
      <c r="KN10" s="782"/>
      <c r="KO10" s="782"/>
      <c r="KP10" s="782"/>
      <c r="KQ10" s="782"/>
      <c r="KR10" s="782"/>
      <c r="KS10" s="782"/>
      <c r="KT10" s="782"/>
      <c r="KU10" s="782"/>
      <c r="KV10" s="782"/>
      <c r="KW10" s="782"/>
      <c r="KX10" s="782"/>
      <c r="KY10" s="782"/>
      <c r="KZ10" s="782"/>
      <c r="LA10" s="782"/>
      <c r="LB10" s="782"/>
      <c r="LC10" s="782"/>
      <c r="LD10" s="782"/>
      <c r="LE10" s="782"/>
      <c r="LF10" s="782"/>
      <c r="LG10" s="782"/>
      <c r="LH10" s="782"/>
      <c r="LI10" s="782"/>
      <c r="LJ10" s="782"/>
      <c r="LK10" s="782"/>
      <c r="LL10" s="782"/>
      <c r="LM10" s="782"/>
      <c r="LN10" s="782"/>
      <c r="LO10" s="782"/>
      <c r="LP10" s="782"/>
      <c r="LQ10" s="782"/>
      <c r="LR10" s="782"/>
      <c r="LS10" s="782"/>
      <c r="LT10" s="782"/>
      <c r="LU10" s="782"/>
      <c r="LV10" s="782"/>
      <c r="LW10" s="782"/>
      <c r="LX10" s="782"/>
      <c r="LY10" s="782"/>
      <c r="LZ10" s="782"/>
      <c r="MA10" s="782"/>
      <c r="MB10" s="782"/>
      <c r="MC10" s="782"/>
      <c r="MD10" s="782"/>
      <c r="ME10" s="782"/>
      <c r="MF10" s="782"/>
      <c r="MG10" s="782"/>
      <c r="MH10" s="782"/>
      <c r="MI10" s="782"/>
      <c r="MJ10" s="782"/>
      <c r="MK10" s="782"/>
      <c r="ML10" s="782"/>
      <c r="MM10" s="782"/>
      <c r="MN10" s="782"/>
      <c r="MO10" s="782"/>
      <c r="MP10" s="782"/>
      <c r="MQ10" s="782"/>
      <c r="MR10" s="782"/>
      <c r="MS10" s="782"/>
      <c r="MT10" s="782"/>
      <c r="MU10" s="782"/>
      <c r="MV10" s="782"/>
      <c r="MW10" s="782"/>
      <c r="MX10" s="782"/>
      <c r="MY10" s="782"/>
      <c r="MZ10" s="782"/>
      <c r="NA10" s="782"/>
      <c r="NB10" s="782"/>
      <c r="NC10" s="782"/>
      <c r="ND10" s="782"/>
      <c r="NE10" s="782"/>
      <c r="NF10" s="782"/>
      <c r="NG10" s="782"/>
      <c r="NH10" s="782"/>
      <c r="NI10" s="782"/>
      <c r="NJ10" s="782"/>
      <c r="NK10" s="782"/>
      <c r="NL10" s="782"/>
      <c r="NM10" s="782"/>
      <c r="NN10" s="782"/>
      <c r="NO10" s="782"/>
      <c r="NP10" s="782"/>
      <c r="NQ10" s="782"/>
      <c r="NR10" s="782"/>
      <c r="NS10" s="782"/>
      <c r="NT10" s="782"/>
      <c r="NU10" s="782"/>
      <c r="NV10" s="782"/>
      <c r="NW10" s="782"/>
      <c r="NX10" s="782"/>
      <c r="NY10" s="782"/>
      <c r="NZ10" s="782"/>
      <c r="OA10" s="782"/>
      <c r="OB10" s="782"/>
      <c r="OC10" s="782"/>
      <c r="OD10" s="782"/>
      <c r="OE10" s="782"/>
      <c r="OF10" s="782"/>
      <c r="OG10" s="782"/>
      <c r="OH10" s="782"/>
      <c r="OI10" s="782"/>
      <c r="OJ10" s="782"/>
      <c r="OK10" s="782"/>
      <c r="OL10" s="782"/>
      <c r="OM10" s="782"/>
      <c r="ON10" s="782"/>
      <c r="OO10" s="782"/>
      <c r="OP10" s="782"/>
      <c r="OQ10" s="782"/>
      <c r="OR10" s="782"/>
      <c r="OS10" s="782"/>
      <c r="OT10" s="782"/>
      <c r="OU10" s="782"/>
      <c r="OV10" s="782"/>
      <c r="OW10" s="782"/>
      <c r="OX10" s="782"/>
      <c r="OY10" s="782"/>
      <c r="OZ10" s="782"/>
      <c r="PA10" s="782"/>
      <c r="PB10" s="782"/>
      <c r="PC10" s="782"/>
      <c r="PD10" s="782"/>
      <c r="PE10" s="782"/>
      <c r="PF10" s="782"/>
      <c r="PG10" s="782"/>
      <c r="PH10" s="782"/>
      <c r="PI10" s="782"/>
      <c r="PJ10" s="782"/>
      <c r="PK10" s="782"/>
      <c r="PL10" s="782"/>
      <c r="PM10" s="782"/>
      <c r="PN10" s="782"/>
      <c r="PO10" s="782"/>
    </row>
    <row r="11" spans="1:431" s="143" customFormat="1">
      <c r="A11" s="782"/>
      <c r="B11" s="782"/>
      <c r="C11" s="785"/>
      <c r="D11" s="791"/>
      <c r="E11" s="790"/>
      <c r="F11" s="790"/>
      <c r="G11" s="785"/>
      <c r="H11" s="785"/>
      <c r="I11" s="791"/>
      <c r="J11" s="790"/>
      <c r="K11" s="790"/>
      <c r="L11" s="785"/>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2"/>
      <c r="AY11" s="782"/>
      <c r="AZ11" s="782"/>
      <c r="BA11" s="782"/>
      <c r="BB11" s="782"/>
      <c r="BC11" s="782"/>
      <c r="BD11" s="782"/>
      <c r="BE11" s="782"/>
      <c r="BF11" s="782"/>
      <c r="BG11" s="782"/>
      <c r="BH11" s="782"/>
      <c r="BI11" s="782"/>
      <c r="BJ11" s="782"/>
      <c r="BK11" s="782"/>
      <c r="BL11" s="782"/>
      <c r="BM11" s="782"/>
      <c r="BN11" s="782"/>
      <c r="BO11" s="782"/>
      <c r="BP11" s="782"/>
      <c r="BQ11" s="782"/>
      <c r="BR11" s="782"/>
      <c r="BS11" s="782"/>
      <c r="BT11" s="782"/>
      <c r="BU11" s="782"/>
      <c r="BV11" s="782"/>
      <c r="BW11" s="782"/>
      <c r="BX11" s="782"/>
      <c r="BY11" s="782"/>
      <c r="BZ11" s="782"/>
      <c r="CA11" s="782"/>
      <c r="CB11" s="782"/>
      <c r="CC11" s="782"/>
      <c r="CD11" s="782"/>
      <c r="CE11" s="782"/>
      <c r="CF11" s="782"/>
      <c r="CG11" s="782"/>
      <c r="CH11" s="782"/>
      <c r="CI11" s="782"/>
      <c r="CJ11" s="782"/>
      <c r="CK11" s="782"/>
      <c r="CL11" s="782"/>
      <c r="CM11" s="782"/>
      <c r="CN11" s="782"/>
      <c r="CO11" s="782"/>
      <c r="CP11" s="782"/>
      <c r="CQ11" s="782"/>
      <c r="CR11" s="782"/>
      <c r="CS11" s="782"/>
      <c r="CT11" s="782"/>
      <c r="CU11" s="782"/>
      <c r="CV11" s="782"/>
      <c r="CW11" s="782"/>
      <c r="CX11" s="782"/>
      <c r="CY11" s="782"/>
      <c r="CZ11" s="782"/>
      <c r="DA11" s="782"/>
      <c r="DB11" s="782"/>
      <c r="DC11" s="782"/>
      <c r="DD11" s="782"/>
      <c r="DE11" s="782"/>
      <c r="DF11" s="782"/>
      <c r="DG11" s="782"/>
      <c r="DH11" s="782"/>
      <c r="DI11" s="782"/>
      <c r="DJ11" s="782"/>
      <c r="DK11" s="782"/>
      <c r="DL11" s="782"/>
      <c r="DM11" s="782"/>
      <c r="DN11" s="782"/>
      <c r="DO11" s="782"/>
      <c r="DP11" s="782"/>
      <c r="DQ11" s="782"/>
      <c r="DR11" s="782"/>
      <c r="DS11" s="782"/>
      <c r="DT11" s="782"/>
      <c r="DU11" s="782"/>
      <c r="DV11" s="782"/>
      <c r="DW11" s="782"/>
      <c r="DX11" s="782"/>
      <c r="DY11" s="782"/>
      <c r="DZ11" s="782"/>
      <c r="EA11" s="782"/>
      <c r="EB11" s="782"/>
      <c r="EC11" s="782"/>
      <c r="ED11" s="782"/>
      <c r="EE11" s="782"/>
      <c r="EF11" s="782"/>
      <c r="EG11" s="782"/>
      <c r="EH11" s="782"/>
      <c r="EI11" s="782"/>
      <c r="EJ11" s="782"/>
      <c r="EK11" s="782"/>
      <c r="EL11" s="782"/>
      <c r="EM11" s="782"/>
      <c r="EN11" s="782"/>
      <c r="EO11" s="782"/>
      <c r="EP11" s="782"/>
      <c r="EQ11" s="782"/>
      <c r="ER11" s="782"/>
      <c r="ES11" s="782"/>
      <c r="ET11" s="782"/>
      <c r="EU11" s="782"/>
      <c r="EV11" s="782"/>
      <c r="EW11" s="782"/>
      <c r="EX11" s="782"/>
      <c r="EY11" s="782"/>
      <c r="EZ11" s="782"/>
      <c r="FA11" s="782"/>
      <c r="FB11" s="782"/>
      <c r="FC11" s="782"/>
      <c r="FD11" s="782"/>
      <c r="FE11" s="782"/>
      <c r="FF11" s="782"/>
      <c r="FG11" s="782"/>
      <c r="FH11" s="782"/>
      <c r="FI11" s="782"/>
      <c r="FJ11" s="782"/>
      <c r="FK11" s="782"/>
      <c r="FL11" s="782"/>
      <c r="FM11" s="782"/>
      <c r="FN11" s="782"/>
      <c r="FO11" s="782"/>
      <c r="FP11" s="782"/>
      <c r="FQ11" s="782"/>
      <c r="FR11" s="782"/>
      <c r="FS11" s="782"/>
      <c r="FT11" s="782"/>
      <c r="FU11" s="782"/>
      <c r="FV11" s="782"/>
      <c r="FW11" s="782"/>
      <c r="FX11" s="782"/>
      <c r="FY11" s="782"/>
      <c r="FZ11" s="782"/>
      <c r="GA11" s="782"/>
      <c r="GB11" s="782"/>
      <c r="GC11" s="782"/>
      <c r="GD11" s="782"/>
      <c r="GE11" s="782"/>
      <c r="GF11" s="782"/>
      <c r="GG11" s="782"/>
      <c r="GH11" s="782"/>
      <c r="GI11" s="782"/>
      <c r="GJ11" s="782"/>
      <c r="GK11" s="782"/>
      <c r="GL11" s="782"/>
      <c r="GM11" s="782"/>
      <c r="GN11" s="782"/>
      <c r="GO11" s="782"/>
      <c r="GP11" s="782"/>
      <c r="GQ11" s="782"/>
      <c r="GR11" s="782"/>
      <c r="GS11" s="782"/>
      <c r="GT11" s="782"/>
      <c r="GU11" s="782"/>
      <c r="GV11" s="782"/>
      <c r="GW11" s="782"/>
      <c r="GX11" s="782"/>
      <c r="GY11" s="782"/>
      <c r="GZ11" s="782"/>
      <c r="HA11" s="782"/>
      <c r="HB11" s="782"/>
      <c r="HC11" s="782"/>
      <c r="HD11" s="782"/>
      <c r="HE11" s="782"/>
      <c r="HF11" s="782"/>
      <c r="HG11" s="782"/>
      <c r="HH11" s="782"/>
      <c r="HI11" s="782"/>
      <c r="HJ11" s="782"/>
      <c r="HK11" s="782"/>
      <c r="HL11" s="782"/>
      <c r="HM11" s="782"/>
      <c r="HN11" s="782"/>
      <c r="HO11" s="782"/>
      <c r="HP11" s="782"/>
      <c r="HQ11" s="782"/>
      <c r="HR11" s="782"/>
      <c r="HS11" s="782"/>
      <c r="HT11" s="782"/>
      <c r="HU11" s="782"/>
      <c r="HV11" s="782"/>
      <c r="HW11" s="782"/>
      <c r="HX11" s="782"/>
      <c r="HY11" s="782"/>
      <c r="HZ11" s="782"/>
      <c r="IA11" s="782"/>
      <c r="IB11" s="782"/>
      <c r="IC11" s="782"/>
      <c r="ID11" s="782"/>
      <c r="IE11" s="782"/>
      <c r="IF11" s="782"/>
      <c r="IG11" s="782"/>
      <c r="IH11" s="782"/>
      <c r="II11" s="782"/>
      <c r="IJ11" s="782"/>
      <c r="IK11" s="782"/>
      <c r="IL11" s="782"/>
      <c r="IM11" s="782"/>
      <c r="IN11" s="782"/>
      <c r="IO11" s="782"/>
      <c r="IP11" s="782"/>
      <c r="IQ11" s="782"/>
      <c r="IR11" s="782"/>
      <c r="IS11" s="782"/>
      <c r="IT11" s="782"/>
      <c r="IU11" s="782"/>
      <c r="IV11" s="782"/>
      <c r="IW11" s="782"/>
      <c r="IX11" s="782"/>
      <c r="IY11" s="782"/>
      <c r="IZ11" s="782"/>
      <c r="JA11" s="782"/>
      <c r="JB11" s="782"/>
      <c r="JC11" s="782"/>
      <c r="JD11" s="782"/>
      <c r="JE11" s="782"/>
      <c r="JF11" s="782"/>
      <c r="JG11" s="782"/>
      <c r="JH11" s="782"/>
      <c r="JI11" s="782"/>
      <c r="JJ11" s="782"/>
      <c r="JK11" s="782"/>
      <c r="JL11" s="782"/>
      <c r="JM11" s="782"/>
      <c r="JN11" s="782"/>
      <c r="JO11" s="782"/>
      <c r="JP11" s="782"/>
      <c r="JQ11" s="782"/>
      <c r="JR11" s="782"/>
      <c r="JS11" s="782"/>
      <c r="JT11" s="782"/>
      <c r="JU11" s="782"/>
      <c r="JV11" s="782"/>
      <c r="JW11" s="782"/>
      <c r="JX11" s="782"/>
      <c r="JY11" s="782"/>
      <c r="JZ11" s="782"/>
      <c r="KA11" s="782"/>
      <c r="KB11" s="782"/>
      <c r="KC11" s="782"/>
      <c r="KD11" s="782"/>
      <c r="KE11" s="782"/>
      <c r="KF11" s="782"/>
      <c r="KG11" s="782"/>
      <c r="KH11" s="782"/>
      <c r="KI11" s="782"/>
      <c r="KJ11" s="782"/>
      <c r="KK11" s="782"/>
      <c r="KL11" s="782"/>
      <c r="KM11" s="782"/>
      <c r="KN11" s="782"/>
      <c r="KO11" s="782"/>
      <c r="KP11" s="782"/>
      <c r="KQ11" s="782"/>
      <c r="KR11" s="782"/>
      <c r="KS11" s="782"/>
      <c r="KT11" s="782"/>
      <c r="KU11" s="782"/>
      <c r="KV11" s="782"/>
      <c r="KW11" s="782"/>
      <c r="KX11" s="782"/>
      <c r="KY11" s="782"/>
      <c r="KZ11" s="782"/>
      <c r="LA11" s="782"/>
      <c r="LB11" s="782"/>
      <c r="LC11" s="782"/>
      <c r="LD11" s="782"/>
      <c r="LE11" s="782"/>
      <c r="LF11" s="782"/>
      <c r="LG11" s="782"/>
      <c r="LH11" s="782"/>
      <c r="LI11" s="782"/>
      <c r="LJ11" s="782"/>
      <c r="LK11" s="782"/>
      <c r="LL11" s="782"/>
      <c r="LM11" s="782"/>
      <c r="LN11" s="782"/>
      <c r="LO11" s="782"/>
      <c r="LP11" s="782"/>
      <c r="LQ11" s="782"/>
      <c r="LR11" s="782"/>
      <c r="LS11" s="782"/>
      <c r="LT11" s="782"/>
      <c r="LU11" s="782"/>
      <c r="LV11" s="782"/>
      <c r="LW11" s="782"/>
      <c r="LX11" s="782"/>
      <c r="LY11" s="782"/>
      <c r="LZ11" s="782"/>
      <c r="MA11" s="782"/>
      <c r="MB11" s="782"/>
      <c r="MC11" s="782"/>
      <c r="MD11" s="782"/>
      <c r="ME11" s="782"/>
      <c r="MF11" s="782"/>
      <c r="MG11" s="782"/>
      <c r="MH11" s="782"/>
      <c r="MI11" s="782"/>
      <c r="MJ11" s="782"/>
      <c r="MK11" s="782"/>
      <c r="ML11" s="782"/>
      <c r="MM11" s="782"/>
      <c r="MN11" s="782"/>
      <c r="MO11" s="782"/>
      <c r="MP11" s="782"/>
      <c r="MQ11" s="782"/>
      <c r="MR11" s="782"/>
      <c r="MS11" s="782"/>
      <c r="MT11" s="782"/>
      <c r="MU11" s="782"/>
      <c r="MV11" s="782"/>
      <c r="MW11" s="782"/>
      <c r="MX11" s="782"/>
      <c r="MY11" s="782"/>
      <c r="MZ11" s="782"/>
      <c r="NA11" s="782"/>
      <c r="NB11" s="782"/>
      <c r="NC11" s="782"/>
      <c r="ND11" s="782"/>
      <c r="NE11" s="782"/>
      <c r="NF11" s="782"/>
      <c r="NG11" s="782"/>
      <c r="NH11" s="782"/>
      <c r="NI11" s="782"/>
      <c r="NJ11" s="782"/>
      <c r="NK11" s="782"/>
      <c r="NL11" s="782"/>
      <c r="NM11" s="782"/>
      <c r="NN11" s="782"/>
      <c r="NO11" s="782"/>
      <c r="NP11" s="782"/>
      <c r="NQ11" s="782"/>
      <c r="NR11" s="782"/>
      <c r="NS11" s="782"/>
      <c r="NT11" s="782"/>
      <c r="NU11" s="782"/>
      <c r="NV11" s="782"/>
      <c r="NW11" s="782"/>
      <c r="NX11" s="782"/>
      <c r="NY11" s="782"/>
      <c r="NZ11" s="782"/>
      <c r="OA11" s="782"/>
      <c r="OB11" s="782"/>
      <c r="OC11" s="782"/>
      <c r="OD11" s="782"/>
      <c r="OE11" s="782"/>
      <c r="OF11" s="782"/>
      <c r="OG11" s="782"/>
      <c r="OH11" s="782"/>
      <c r="OI11" s="782"/>
      <c r="OJ11" s="782"/>
      <c r="OK11" s="782"/>
      <c r="OL11" s="782"/>
      <c r="OM11" s="782"/>
      <c r="ON11" s="782"/>
      <c r="OO11" s="782"/>
      <c r="OP11" s="782"/>
      <c r="OQ11" s="782"/>
      <c r="OR11" s="782"/>
      <c r="OS11" s="782"/>
      <c r="OT11" s="782"/>
      <c r="OU11" s="782"/>
      <c r="OV11" s="782"/>
      <c r="OW11" s="782"/>
      <c r="OX11" s="782"/>
      <c r="OY11" s="782"/>
      <c r="OZ11" s="782"/>
      <c r="PA11" s="782"/>
      <c r="PB11" s="782"/>
      <c r="PC11" s="782"/>
      <c r="PD11" s="782"/>
      <c r="PE11" s="782"/>
      <c r="PF11" s="782"/>
      <c r="PG11" s="782"/>
      <c r="PH11" s="782"/>
      <c r="PI11" s="782"/>
      <c r="PJ11" s="782"/>
      <c r="PK11" s="782"/>
      <c r="PL11" s="782"/>
      <c r="PM11" s="782"/>
      <c r="PN11" s="782"/>
      <c r="PO11" s="782"/>
    </row>
    <row r="12" spans="1:431" s="143" customFormat="1">
      <c r="A12" s="782"/>
      <c r="B12" s="782"/>
      <c r="C12" s="785"/>
      <c r="D12" s="785"/>
      <c r="E12" s="790"/>
      <c r="F12" s="785"/>
      <c r="G12" s="149"/>
      <c r="H12" s="785"/>
      <c r="I12" s="785"/>
      <c r="J12" s="790"/>
      <c r="K12" s="790"/>
      <c r="L12" s="149"/>
      <c r="M12" s="782"/>
      <c r="N12" s="782"/>
      <c r="O12" s="782"/>
      <c r="P12" s="782"/>
      <c r="Q12" s="782"/>
      <c r="R12" s="782"/>
      <c r="S12" s="782"/>
      <c r="T12" s="782"/>
      <c r="U12" s="782"/>
      <c r="V12" s="782"/>
      <c r="W12" s="782"/>
      <c r="X12" s="782"/>
      <c r="Y12" s="782"/>
      <c r="Z12" s="782"/>
      <c r="AA12" s="782"/>
      <c r="AB12" s="782"/>
      <c r="AC12" s="782"/>
      <c r="AD12" s="782"/>
      <c r="AE12" s="782"/>
      <c r="AF12" s="782"/>
      <c r="AG12" s="782"/>
      <c r="AH12" s="782"/>
      <c r="AI12" s="782"/>
      <c r="AJ12" s="782"/>
      <c r="AK12" s="782"/>
      <c r="AL12" s="782"/>
      <c r="AM12" s="782"/>
      <c r="AN12" s="782"/>
      <c r="AO12" s="782"/>
      <c r="AP12" s="782"/>
      <c r="AQ12" s="782"/>
      <c r="AR12" s="782"/>
      <c r="AS12" s="782"/>
      <c r="AT12" s="782"/>
      <c r="AU12" s="782"/>
      <c r="AV12" s="782"/>
      <c r="AW12" s="782"/>
      <c r="AX12" s="782"/>
      <c r="AY12" s="782"/>
      <c r="AZ12" s="782"/>
      <c r="BA12" s="782"/>
      <c r="BB12" s="782"/>
      <c r="BC12" s="782"/>
      <c r="BD12" s="782"/>
      <c r="BE12" s="782"/>
      <c r="BF12" s="782"/>
      <c r="BG12" s="782"/>
      <c r="BH12" s="782"/>
      <c r="BI12" s="782"/>
      <c r="BJ12" s="782"/>
      <c r="BK12" s="782"/>
      <c r="BL12" s="782"/>
      <c r="BM12" s="782"/>
      <c r="BN12" s="782"/>
      <c r="BO12" s="782"/>
      <c r="BP12" s="782"/>
      <c r="BQ12" s="782"/>
      <c r="BR12" s="782"/>
      <c r="BS12" s="782"/>
      <c r="BT12" s="782"/>
      <c r="BU12" s="782"/>
      <c r="BV12" s="782"/>
      <c r="BW12" s="782"/>
      <c r="BX12" s="782"/>
      <c r="BY12" s="782"/>
      <c r="BZ12" s="782"/>
      <c r="CA12" s="782"/>
      <c r="CB12" s="782"/>
      <c r="CC12" s="782"/>
      <c r="CD12" s="782"/>
      <c r="CE12" s="782"/>
      <c r="CF12" s="782"/>
      <c r="CG12" s="782"/>
      <c r="CH12" s="782"/>
      <c r="CI12" s="782"/>
      <c r="CJ12" s="782"/>
      <c r="CK12" s="782"/>
      <c r="CL12" s="782"/>
      <c r="CM12" s="782"/>
      <c r="CN12" s="782"/>
      <c r="CO12" s="782"/>
      <c r="CP12" s="782"/>
      <c r="CQ12" s="782"/>
      <c r="CR12" s="782"/>
      <c r="CS12" s="782"/>
      <c r="CT12" s="782"/>
      <c r="CU12" s="782"/>
      <c r="CV12" s="782"/>
      <c r="CW12" s="782"/>
      <c r="CX12" s="782"/>
      <c r="CY12" s="782"/>
      <c r="CZ12" s="782"/>
      <c r="DA12" s="782"/>
      <c r="DB12" s="782"/>
      <c r="DC12" s="782"/>
      <c r="DD12" s="782"/>
      <c r="DE12" s="782"/>
      <c r="DF12" s="782"/>
      <c r="DG12" s="782"/>
      <c r="DH12" s="782"/>
      <c r="DI12" s="782"/>
      <c r="DJ12" s="782"/>
      <c r="DK12" s="782"/>
      <c r="DL12" s="782"/>
      <c r="DM12" s="782"/>
      <c r="DN12" s="782"/>
      <c r="DO12" s="782"/>
      <c r="DP12" s="782"/>
      <c r="DQ12" s="782"/>
      <c r="DR12" s="782"/>
      <c r="DS12" s="782"/>
      <c r="DT12" s="782"/>
      <c r="DU12" s="782"/>
      <c r="DV12" s="782"/>
      <c r="DW12" s="782"/>
      <c r="DX12" s="782"/>
      <c r="DY12" s="782"/>
      <c r="DZ12" s="782"/>
      <c r="EA12" s="782"/>
      <c r="EB12" s="782"/>
      <c r="EC12" s="782"/>
      <c r="ED12" s="782"/>
      <c r="EE12" s="782"/>
      <c r="EF12" s="782"/>
      <c r="EG12" s="782"/>
      <c r="EH12" s="782"/>
      <c r="EI12" s="782"/>
      <c r="EJ12" s="782"/>
      <c r="EK12" s="782"/>
      <c r="EL12" s="782"/>
      <c r="EM12" s="782"/>
      <c r="EN12" s="782"/>
      <c r="EO12" s="782"/>
      <c r="EP12" s="782"/>
      <c r="EQ12" s="782"/>
      <c r="ER12" s="782"/>
      <c r="ES12" s="782"/>
      <c r="ET12" s="782"/>
      <c r="EU12" s="782"/>
      <c r="EV12" s="782"/>
      <c r="EW12" s="782"/>
      <c r="EX12" s="782"/>
      <c r="EY12" s="782"/>
      <c r="EZ12" s="782"/>
      <c r="FA12" s="782"/>
      <c r="FB12" s="782"/>
      <c r="FC12" s="782"/>
      <c r="FD12" s="782"/>
      <c r="FE12" s="782"/>
      <c r="FF12" s="782"/>
      <c r="FG12" s="782"/>
      <c r="FH12" s="782"/>
      <c r="FI12" s="782"/>
      <c r="FJ12" s="782"/>
      <c r="FK12" s="782"/>
      <c r="FL12" s="782"/>
      <c r="FM12" s="782"/>
      <c r="FN12" s="782"/>
      <c r="FO12" s="782"/>
      <c r="FP12" s="782"/>
      <c r="FQ12" s="782"/>
      <c r="FR12" s="782"/>
      <c r="FS12" s="782"/>
      <c r="FT12" s="782"/>
      <c r="FU12" s="782"/>
      <c r="FV12" s="782"/>
      <c r="FW12" s="782"/>
      <c r="FX12" s="782"/>
      <c r="FY12" s="782"/>
      <c r="FZ12" s="782"/>
      <c r="GA12" s="782"/>
      <c r="GB12" s="782"/>
      <c r="GC12" s="782"/>
      <c r="GD12" s="782"/>
      <c r="GE12" s="782"/>
      <c r="GF12" s="782"/>
      <c r="GG12" s="782"/>
      <c r="GH12" s="782"/>
      <c r="GI12" s="782"/>
      <c r="GJ12" s="782"/>
      <c r="GK12" s="782"/>
      <c r="GL12" s="782"/>
      <c r="GM12" s="782"/>
      <c r="GN12" s="782"/>
      <c r="GO12" s="782"/>
      <c r="GP12" s="782"/>
      <c r="GQ12" s="782"/>
      <c r="GR12" s="782"/>
      <c r="GS12" s="782"/>
      <c r="GT12" s="782"/>
      <c r="GU12" s="782"/>
      <c r="GV12" s="782"/>
      <c r="GW12" s="782"/>
      <c r="GX12" s="782"/>
      <c r="GY12" s="782"/>
      <c r="GZ12" s="782"/>
      <c r="HA12" s="782"/>
      <c r="HB12" s="782"/>
      <c r="HC12" s="782"/>
      <c r="HD12" s="782"/>
      <c r="HE12" s="782"/>
      <c r="HF12" s="782"/>
      <c r="HG12" s="782"/>
      <c r="HH12" s="782"/>
      <c r="HI12" s="782"/>
      <c r="HJ12" s="782"/>
      <c r="HK12" s="782"/>
      <c r="HL12" s="782"/>
      <c r="HM12" s="782"/>
      <c r="HN12" s="782"/>
      <c r="HO12" s="782"/>
      <c r="HP12" s="782"/>
      <c r="HQ12" s="782"/>
      <c r="HR12" s="782"/>
      <c r="HS12" s="782"/>
      <c r="HT12" s="782"/>
      <c r="HU12" s="782"/>
      <c r="HV12" s="782"/>
      <c r="HW12" s="782"/>
      <c r="HX12" s="782"/>
      <c r="HY12" s="782"/>
      <c r="HZ12" s="782"/>
      <c r="IA12" s="782"/>
      <c r="IB12" s="782"/>
      <c r="IC12" s="782"/>
      <c r="ID12" s="782"/>
      <c r="IE12" s="782"/>
      <c r="IF12" s="782"/>
      <c r="IG12" s="782"/>
      <c r="IH12" s="782"/>
      <c r="II12" s="782"/>
      <c r="IJ12" s="782"/>
      <c r="IK12" s="782"/>
      <c r="IL12" s="782"/>
      <c r="IM12" s="782"/>
      <c r="IN12" s="782"/>
      <c r="IO12" s="782"/>
      <c r="IP12" s="782"/>
      <c r="IQ12" s="782"/>
      <c r="IR12" s="782"/>
      <c r="IS12" s="782"/>
      <c r="IT12" s="782"/>
      <c r="IU12" s="782"/>
      <c r="IV12" s="782"/>
      <c r="IW12" s="782"/>
      <c r="IX12" s="782"/>
      <c r="IY12" s="782"/>
      <c r="IZ12" s="782"/>
      <c r="JA12" s="782"/>
      <c r="JB12" s="782"/>
      <c r="JC12" s="782"/>
      <c r="JD12" s="782"/>
      <c r="JE12" s="782"/>
      <c r="JF12" s="782"/>
      <c r="JG12" s="782"/>
      <c r="JH12" s="782"/>
      <c r="JI12" s="782"/>
      <c r="JJ12" s="782"/>
      <c r="JK12" s="782"/>
      <c r="JL12" s="782"/>
      <c r="JM12" s="782"/>
      <c r="JN12" s="782"/>
      <c r="JO12" s="782"/>
      <c r="JP12" s="782"/>
      <c r="JQ12" s="782"/>
      <c r="JR12" s="782"/>
      <c r="JS12" s="782"/>
      <c r="JT12" s="782"/>
      <c r="JU12" s="782"/>
      <c r="JV12" s="782"/>
      <c r="JW12" s="782"/>
      <c r="JX12" s="782"/>
      <c r="JY12" s="782"/>
      <c r="JZ12" s="782"/>
      <c r="KA12" s="782"/>
      <c r="KB12" s="782"/>
      <c r="KC12" s="782"/>
      <c r="KD12" s="782"/>
      <c r="KE12" s="782"/>
      <c r="KF12" s="782"/>
      <c r="KG12" s="782"/>
      <c r="KH12" s="782"/>
      <c r="KI12" s="782"/>
      <c r="KJ12" s="782"/>
      <c r="KK12" s="782"/>
      <c r="KL12" s="782"/>
      <c r="KM12" s="782"/>
      <c r="KN12" s="782"/>
      <c r="KO12" s="782"/>
      <c r="KP12" s="782"/>
      <c r="KQ12" s="782"/>
      <c r="KR12" s="782"/>
      <c r="KS12" s="782"/>
      <c r="KT12" s="782"/>
      <c r="KU12" s="782"/>
      <c r="KV12" s="782"/>
      <c r="KW12" s="782"/>
      <c r="KX12" s="782"/>
      <c r="KY12" s="782"/>
      <c r="KZ12" s="782"/>
      <c r="LA12" s="782"/>
      <c r="LB12" s="782"/>
      <c r="LC12" s="782"/>
      <c r="LD12" s="782"/>
      <c r="LE12" s="782"/>
      <c r="LF12" s="782"/>
      <c r="LG12" s="782"/>
      <c r="LH12" s="782"/>
      <c r="LI12" s="782"/>
      <c r="LJ12" s="782"/>
      <c r="LK12" s="782"/>
      <c r="LL12" s="782"/>
      <c r="LM12" s="782"/>
      <c r="LN12" s="782"/>
      <c r="LO12" s="782"/>
      <c r="LP12" s="782"/>
      <c r="LQ12" s="782"/>
      <c r="LR12" s="782"/>
      <c r="LS12" s="782"/>
      <c r="LT12" s="782"/>
      <c r="LU12" s="782"/>
      <c r="LV12" s="782"/>
      <c r="LW12" s="782"/>
      <c r="LX12" s="782"/>
      <c r="LY12" s="782"/>
      <c r="LZ12" s="782"/>
      <c r="MA12" s="782"/>
      <c r="MB12" s="782"/>
      <c r="MC12" s="782"/>
      <c r="MD12" s="782"/>
      <c r="ME12" s="782"/>
      <c r="MF12" s="782"/>
      <c r="MG12" s="782"/>
      <c r="MH12" s="782"/>
      <c r="MI12" s="782"/>
      <c r="MJ12" s="782"/>
      <c r="MK12" s="782"/>
      <c r="ML12" s="782"/>
      <c r="MM12" s="782"/>
      <c r="MN12" s="782"/>
      <c r="MO12" s="782"/>
      <c r="MP12" s="782"/>
      <c r="MQ12" s="782"/>
      <c r="MR12" s="782"/>
      <c r="MS12" s="782"/>
      <c r="MT12" s="782"/>
      <c r="MU12" s="782"/>
      <c r="MV12" s="782"/>
      <c r="MW12" s="782"/>
      <c r="MX12" s="782"/>
      <c r="MY12" s="782"/>
      <c r="MZ12" s="782"/>
      <c r="NA12" s="782"/>
      <c r="NB12" s="782"/>
      <c r="NC12" s="782"/>
      <c r="ND12" s="782"/>
      <c r="NE12" s="782"/>
      <c r="NF12" s="782"/>
      <c r="NG12" s="782"/>
      <c r="NH12" s="782"/>
      <c r="NI12" s="782"/>
      <c r="NJ12" s="782"/>
      <c r="NK12" s="782"/>
      <c r="NL12" s="782"/>
      <c r="NM12" s="782"/>
      <c r="NN12" s="782"/>
      <c r="NO12" s="782"/>
      <c r="NP12" s="782"/>
      <c r="NQ12" s="782"/>
      <c r="NR12" s="782"/>
      <c r="NS12" s="782"/>
      <c r="NT12" s="782"/>
      <c r="NU12" s="782"/>
      <c r="NV12" s="782"/>
      <c r="NW12" s="782"/>
      <c r="NX12" s="782"/>
      <c r="NY12" s="782"/>
      <c r="NZ12" s="782"/>
      <c r="OA12" s="782"/>
      <c r="OB12" s="782"/>
      <c r="OC12" s="782"/>
      <c r="OD12" s="782"/>
      <c r="OE12" s="782"/>
      <c r="OF12" s="782"/>
      <c r="OG12" s="782"/>
      <c r="OH12" s="782"/>
      <c r="OI12" s="782"/>
      <c r="OJ12" s="782"/>
      <c r="OK12" s="782"/>
      <c r="OL12" s="782"/>
      <c r="OM12" s="782"/>
      <c r="ON12" s="782"/>
      <c r="OO12" s="782"/>
      <c r="OP12" s="782"/>
      <c r="OQ12" s="782"/>
      <c r="OR12" s="782"/>
      <c r="OS12" s="782"/>
      <c r="OT12" s="782"/>
      <c r="OU12" s="782"/>
      <c r="OV12" s="782"/>
      <c r="OW12" s="782"/>
      <c r="OX12" s="782"/>
      <c r="OY12" s="782"/>
      <c r="OZ12" s="782"/>
      <c r="PA12" s="782"/>
      <c r="PB12" s="782"/>
      <c r="PC12" s="782"/>
      <c r="PD12" s="782"/>
      <c r="PE12" s="782"/>
      <c r="PF12" s="782"/>
      <c r="PG12" s="782"/>
      <c r="PH12" s="782"/>
      <c r="PI12" s="782"/>
      <c r="PJ12" s="782"/>
      <c r="PK12" s="782"/>
      <c r="PL12" s="782"/>
      <c r="PM12" s="782"/>
      <c r="PN12" s="782"/>
      <c r="PO12" s="782"/>
    </row>
    <row r="13" spans="1:431" s="143" customFormat="1">
      <c r="A13" s="782"/>
      <c r="B13" s="782"/>
      <c r="C13" s="785"/>
      <c r="D13" s="785"/>
      <c r="E13" s="151"/>
      <c r="F13" s="149"/>
      <c r="G13" s="785"/>
      <c r="H13" s="785"/>
      <c r="I13" s="785"/>
      <c r="J13" s="151"/>
      <c r="K13" s="484"/>
      <c r="L13" s="785"/>
      <c r="M13" s="782"/>
      <c r="N13" s="782"/>
      <c r="O13" s="782"/>
      <c r="P13" s="782"/>
      <c r="Q13" s="782"/>
      <c r="R13" s="782"/>
      <c r="S13" s="782"/>
      <c r="T13" s="782"/>
      <c r="U13" s="782"/>
      <c r="V13" s="782"/>
      <c r="W13" s="782"/>
      <c r="X13" s="782"/>
      <c r="Y13" s="782"/>
      <c r="Z13" s="782"/>
      <c r="AA13" s="782"/>
      <c r="AB13" s="782"/>
      <c r="AC13" s="782"/>
      <c r="AD13" s="782"/>
      <c r="AE13" s="782"/>
      <c r="AF13" s="782"/>
      <c r="AG13" s="782"/>
      <c r="AH13" s="782"/>
      <c r="AI13" s="782"/>
      <c r="AJ13" s="782"/>
      <c r="AK13" s="782"/>
      <c r="AL13" s="782"/>
      <c r="AM13" s="782"/>
      <c r="AN13" s="782"/>
      <c r="AO13" s="782"/>
      <c r="AP13" s="782"/>
      <c r="AQ13" s="782"/>
      <c r="AR13" s="782"/>
      <c r="AS13" s="782"/>
      <c r="AT13" s="782"/>
      <c r="AU13" s="782"/>
      <c r="AV13" s="782"/>
      <c r="AW13" s="782"/>
      <c r="AX13" s="782"/>
      <c r="AY13" s="782"/>
      <c r="AZ13" s="782"/>
      <c r="BA13" s="782"/>
      <c r="BB13" s="782"/>
      <c r="BC13" s="782"/>
      <c r="BD13" s="782"/>
      <c r="BE13" s="782"/>
      <c r="BF13" s="782"/>
      <c r="BG13" s="782"/>
      <c r="BH13" s="782"/>
      <c r="BI13" s="782"/>
      <c r="BJ13" s="782"/>
      <c r="BK13" s="782"/>
      <c r="BL13" s="782"/>
      <c r="BM13" s="782"/>
      <c r="BN13" s="782"/>
      <c r="BO13" s="782"/>
      <c r="BP13" s="782"/>
      <c r="BQ13" s="782"/>
      <c r="BR13" s="782"/>
      <c r="BS13" s="782"/>
      <c r="BT13" s="782"/>
      <c r="BU13" s="782"/>
      <c r="BV13" s="782"/>
      <c r="BW13" s="782"/>
      <c r="BX13" s="782"/>
      <c r="BY13" s="782"/>
      <c r="BZ13" s="782"/>
      <c r="CA13" s="782"/>
      <c r="CB13" s="782"/>
      <c r="CC13" s="782"/>
      <c r="CD13" s="782"/>
      <c r="CE13" s="782"/>
      <c r="CF13" s="782"/>
      <c r="CG13" s="782"/>
      <c r="CH13" s="782"/>
      <c r="CI13" s="782"/>
      <c r="CJ13" s="782"/>
      <c r="CK13" s="782"/>
      <c r="CL13" s="782"/>
      <c r="CM13" s="782"/>
      <c r="CN13" s="782"/>
      <c r="CO13" s="782"/>
      <c r="CP13" s="782"/>
      <c r="CQ13" s="782"/>
      <c r="CR13" s="782"/>
      <c r="CS13" s="782"/>
      <c r="CT13" s="782"/>
      <c r="CU13" s="782"/>
      <c r="CV13" s="782"/>
      <c r="CW13" s="782"/>
      <c r="CX13" s="782"/>
      <c r="CY13" s="782"/>
      <c r="CZ13" s="782"/>
      <c r="DA13" s="782"/>
      <c r="DB13" s="782"/>
      <c r="DC13" s="782"/>
      <c r="DD13" s="782"/>
      <c r="DE13" s="782"/>
      <c r="DF13" s="782"/>
      <c r="DG13" s="782"/>
      <c r="DH13" s="782"/>
      <c r="DI13" s="782"/>
      <c r="DJ13" s="782"/>
      <c r="DK13" s="782"/>
      <c r="DL13" s="782"/>
      <c r="DM13" s="782"/>
      <c r="DN13" s="782"/>
      <c r="DO13" s="782"/>
      <c r="DP13" s="782"/>
      <c r="DQ13" s="782"/>
      <c r="DR13" s="782"/>
      <c r="DS13" s="782"/>
      <c r="DT13" s="782"/>
      <c r="DU13" s="782"/>
      <c r="DV13" s="782"/>
      <c r="DW13" s="782"/>
      <c r="DX13" s="782"/>
      <c r="DY13" s="782"/>
      <c r="DZ13" s="782"/>
      <c r="EA13" s="782"/>
      <c r="EB13" s="782"/>
      <c r="EC13" s="782"/>
      <c r="ED13" s="782"/>
      <c r="EE13" s="782"/>
      <c r="EF13" s="782"/>
      <c r="EG13" s="782"/>
      <c r="EH13" s="782"/>
      <c r="EI13" s="782"/>
      <c r="EJ13" s="782"/>
      <c r="EK13" s="782"/>
      <c r="EL13" s="782"/>
      <c r="EM13" s="782"/>
      <c r="EN13" s="782"/>
      <c r="EO13" s="782"/>
      <c r="EP13" s="782"/>
      <c r="EQ13" s="782"/>
      <c r="ER13" s="782"/>
      <c r="ES13" s="782"/>
      <c r="ET13" s="782"/>
      <c r="EU13" s="782"/>
      <c r="EV13" s="782"/>
      <c r="EW13" s="782"/>
      <c r="EX13" s="782"/>
      <c r="EY13" s="782"/>
      <c r="EZ13" s="782"/>
      <c r="FA13" s="782"/>
      <c r="FB13" s="782"/>
      <c r="FC13" s="782"/>
      <c r="FD13" s="782"/>
      <c r="FE13" s="782"/>
      <c r="FF13" s="782"/>
      <c r="FG13" s="782"/>
      <c r="FH13" s="782"/>
      <c r="FI13" s="782"/>
      <c r="FJ13" s="782"/>
      <c r="FK13" s="782"/>
      <c r="FL13" s="782"/>
      <c r="FM13" s="782"/>
      <c r="FN13" s="782"/>
      <c r="FO13" s="782"/>
      <c r="FP13" s="782"/>
      <c r="FQ13" s="782"/>
      <c r="FR13" s="782"/>
      <c r="FS13" s="782"/>
      <c r="FT13" s="782"/>
      <c r="FU13" s="782"/>
      <c r="FV13" s="782"/>
      <c r="FW13" s="782"/>
      <c r="FX13" s="782"/>
      <c r="FY13" s="782"/>
      <c r="FZ13" s="782"/>
      <c r="GA13" s="782"/>
      <c r="GB13" s="782"/>
      <c r="GC13" s="782"/>
      <c r="GD13" s="782"/>
      <c r="GE13" s="782"/>
      <c r="GF13" s="782"/>
      <c r="GG13" s="782"/>
      <c r="GH13" s="782"/>
      <c r="GI13" s="782"/>
      <c r="GJ13" s="782"/>
      <c r="GK13" s="782"/>
      <c r="GL13" s="782"/>
      <c r="GM13" s="782"/>
      <c r="GN13" s="782"/>
      <c r="GO13" s="782"/>
      <c r="GP13" s="782"/>
      <c r="GQ13" s="782"/>
      <c r="GR13" s="782"/>
      <c r="GS13" s="782"/>
      <c r="GT13" s="782"/>
      <c r="GU13" s="782"/>
      <c r="GV13" s="782"/>
      <c r="GW13" s="782"/>
      <c r="GX13" s="782"/>
      <c r="GY13" s="782"/>
      <c r="GZ13" s="782"/>
      <c r="HA13" s="782"/>
      <c r="HB13" s="782"/>
      <c r="HC13" s="782"/>
      <c r="HD13" s="782"/>
      <c r="HE13" s="782"/>
      <c r="HF13" s="782"/>
      <c r="HG13" s="782"/>
      <c r="HH13" s="782"/>
      <c r="HI13" s="782"/>
      <c r="HJ13" s="782"/>
      <c r="HK13" s="782"/>
      <c r="HL13" s="782"/>
      <c r="HM13" s="782"/>
      <c r="HN13" s="782"/>
      <c r="HO13" s="782"/>
      <c r="HP13" s="782"/>
      <c r="HQ13" s="782"/>
      <c r="HR13" s="782"/>
      <c r="HS13" s="782"/>
      <c r="HT13" s="782"/>
      <c r="HU13" s="782"/>
      <c r="HV13" s="782"/>
      <c r="HW13" s="782"/>
      <c r="HX13" s="782"/>
      <c r="HY13" s="782"/>
      <c r="HZ13" s="782"/>
      <c r="IA13" s="782"/>
      <c r="IB13" s="782"/>
      <c r="IC13" s="782"/>
      <c r="ID13" s="782"/>
      <c r="IE13" s="782"/>
      <c r="IF13" s="782"/>
      <c r="IG13" s="782"/>
      <c r="IH13" s="782"/>
      <c r="II13" s="782"/>
      <c r="IJ13" s="782"/>
      <c r="IK13" s="782"/>
      <c r="IL13" s="782"/>
      <c r="IM13" s="782"/>
      <c r="IN13" s="782"/>
      <c r="IO13" s="782"/>
      <c r="IP13" s="782"/>
      <c r="IQ13" s="782"/>
      <c r="IR13" s="782"/>
      <c r="IS13" s="782"/>
      <c r="IT13" s="782"/>
      <c r="IU13" s="782"/>
      <c r="IV13" s="782"/>
      <c r="IW13" s="782"/>
      <c r="IX13" s="782"/>
      <c r="IY13" s="782"/>
      <c r="IZ13" s="782"/>
      <c r="JA13" s="782"/>
      <c r="JB13" s="782"/>
      <c r="JC13" s="782"/>
      <c r="JD13" s="782"/>
      <c r="JE13" s="782"/>
      <c r="JF13" s="782"/>
      <c r="JG13" s="782"/>
      <c r="JH13" s="782"/>
      <c r="JI13" s="782"/>
      <c r="JJ13" s="782"/>
      <c r="JK13" s="782"/>
      <c r="JL13" s="782"/>
      <c r="JM13" s="782"/>
      <c r="JN13" s="782"/>
      <c r="JO13" s="782"/>
      <c r="JP13" s="782"/>
      <c r="JQ13" s="782"/>
      <c r="JR13" s="782"/>
      <c r="JS13" s="782"/>
      <c r="JT13" s="782"/>
      <c r="JU13" s="782"/>
      <c r="JV13" s="782"/>
      <c r="JW13" s="782"/>
      <c r="JX13" s="782"/>
      <c r="JY13" s="782"/>
      <c r="JZ13" s="782"/>
      <c r="KA13" s="782"/>
      <c r="KB13" s="782"/>
      <c r="KC13" s="782"/>
      <c r="KD13" s="782"/>
      <c r="KE13" s="782"/>
      <c r="KF13" s="782"/>
      <c r="KG13" s="782"/>
      <c r="KH13" s="782"/>
      <c r="KI13" s="782"/>
      <c r="KJ13" s="782"/>
      <c r="KK13" s="782"/>
      <c r="KL13" s="782"/>
      <c r="KM13" s="782"/>
      <c r="KN13" s="782"/>
      <c r="KO13" s="782"/>
      <c r="KP13" s="782"/>
      <c r="KQ13" s="782"/>
      <c r="KR13" s="782"/>
      <c r="KS13" s="782"/>
      <c r="KT13" s="782"/>
      <c r="KU13" s="782"/>
      <c r="KV13" s="782"/>
      <c r="KW13" s="782"/>
      <c r="KX13" s="782"/>
      <c r="KY13" s="782"/>
      <c r="KZ13" s="782"/>
      <c r="LA13" s="782"/>
      <c r="LB13" s="782"/>
      <c r="LC13" s="782"/>
      <c r="LD13" s="782"/>
      <c r="LE13" s="782"/>
      <c r="LF13" s="782"/>
      <c r="LG13" s="782"/>
      <c r="LH13" s="782"/>
      <c r="LI13" s="782"/>
      <c r="LJ13" s="782"/>
      <c r="LK13" s="782"/>
      <c r="LL13" s="782"/>
      <c r="LM13" s="782"/>
      <c r="LN13" s="782"/>
      <c r="LO13" s="782"/>
      <c r="LP13" s="782"/>
      <c r="LQ13" s="782"/>
      <c r="LR13" s="782"/>
      <c r="LS13" s="782"/>
      <c r="LT13" s="782"/>
      <c r="LU13" s="782"/>
      <c r="LV13" s="782"/>
      <c r="LW13" s="782"/>
      <c r="LX13" s="782"/>
      <c r="LY13" s="782"/>
      <c r="LZ13" s="782"/>
      <c r="MA13" s="782"/>
      <c r="MB13" s="782"/>
      <c r="MC13" s="782"/>
      <c r="MD13" s="782"/>
      <c r="ME13" s="782"/>
      <c r="MF13" s="782"/>
      <c r="MG13" s="782"/>
      <c r="MH13" s="782"/>
      <c r="MI13" s="782"/>
      <c r="MJ13" s="782"/>
      <c r="MK13" s="782"/>
      <c r="ML13" s="782"/>
      <c r="MM13" s="782"/>
      <c r="MN13" s="782"/>
      <c r="MO13" s="782"/>
      <c r="MP13" s="782"/>
      <c r="MQ13" s="782"/>
      <c r="MR13" s="782"/>
      <c r="MS13" s="782"/>
      <c r="MT13" s="782"/>
      <c r="MU13" s="782"/>
      <c r="MV13" s="782"/>
      <c r="MW13" s="782"/>
      <c r="MX13" s="782"/>
      <c r="MY13" s="782"/>
      <c r="MZ13" s="782"/>
      <c r="NA13" s="782"/>
      <c r="NB13" s="782"/>
      <c r="NC13" s="782"/>
      <c r="ND13" s="782"/>
      <c r="NE13" s="782"/>
      <c r="NF13" s="782"/>
      <c r="NG13" s="782"/>
      <c r="NH13" s="782"/>
      <c r="NI13" s="782"/>
      <c r="NJ13" s="782"/>
      <c r="NK13" s="782"/>
      <c r="NL13" s="782"/>
      <c r="NM13" s="782"/>
      <c r="NN13" s="782"/>
      <c r="NO13" s="782"/>
      <c r="NP13" s="782"/>
      <c r="NQ13" s="782"/>
      <c r="NR13" s="782"/>
      <c r="NS13" s="782"/>
      <c r="NT13" s="782"/>
      <c r="NU13" s="782"/>
      <c r="NV13" s="782"/>
      <c r="NW13" s="782"/>
      <c r="NX13" s="782"/>
      <c r="NY13" s="782"/>
      <c r="NZ13" s="782"/>
      <c r="OA13" s="782"/>
      <c r="OB13" s="782"/>
      <c r="OC13" s="782"/>
      <c r="OD13" s="782"/>
      <c r="OE13" s="782"/>
      <c r="OF13" s="782"/>
      <c r="OG13" s="782"/>
      <c r="OH13" s="782"/>
      <c r="OI13" s="782"/>
      <c r="OJ13" s="782"/>
      <c r="OK13" s="782"/>
      <c r="OL13" s="782"/>
      <c r="OM13" s="782"/>
      <c r="ON13" s="782"/>
      <c r="OO13" s="782"/>
      <c r="OP13" s="782"/>
      <c r="OQ13" s="782"/>
      <c r="OR13" s="782"/>
      <c r="OS13" s="782"/>
      <c r="OT13" s="782"/>
      <c r="OU13" s="782"/>
      <c r="OV13" s="782"/>
      <c r="OW13" s="782"/>
      <c r="OX13" s="782"/>
      <c r="OY13" s="782"/>
      <c r="OZ13" s="782"/>
      <c r="PA13" s="782"/>
      <c r="PB13" s="782"/>
      <c r="PC13" s="782"/>
      <c r="PD13" s="782"/>
      <c r="PE13" s="782"/>
      <c r="PF13" s="782"/>
      <c r="PG13" s="782"/>
      <c r="PH13" s="782"/>
      <c r="PI13" s="782"/>
      <c r="PJ13" s="782"/>
      <c r="PK13" s="782"/>
      <c r="PL13" s="782"/>
      <c r="PM13" s="782"/>
      <c r="PN13" s="782"/>
      <c r="PO13" s="782"/>
    </row>
    <row r="14" spans="1:431" s="143" customFormat="1">
      <c r="A14" s="782"/>
      <c r="B14" s="782"/>
      <c r="C14" s="785"/>
      <c r="D14" s="785"/>
      <c r="E14" s="785"/>
      <c r="F14" s="785"/>
      <c r="G14" s="785"/>
      <c r="H14" s="785"/>
      <c r="I14" s="785"/>
      <c r="J14" s="785"/>
      <c r="K14" s="785"/>
      <c r="L14" s="785"/>
      <c r="M14" s="782"/>
      <c r="N14" s="782"/>
      <c r="O14" s="782"/>
      <c r="P14" s="782"/>
      <c r="Q14" s="782"/>
      <c r="R14" s="782"/>
      <c r="S14" s="782"/>
      <c r="T14" s="782"/>
      <c r="U14" s="782"/>
      <c r="V14" s="782"/>
      <c r="W14" s="782"/>
      <c r="X14" s="782"/>
      <c r="Y14" s="782"/>
      <c r="Z14" s="782"/>
      <c r="AA14" s="782"/>
      <c r="AB14" s="782"/>
      <c r="AC14" s="782"/>
      <c r="AD14" s="782"/>
      <c r="AE14" s="782"/>
      <c r="AF14" s="782"/>
      <c r="AG14" s="782"/>
      <c r="AH14" s="782"/>
      <c r="AI14" s="782"/>
      <c r="AJ14" s="782"/>
      <c r="AK14" s="782"/>
      <c r="AL14" s="782"/>
      <c r="AM14" s="782"/>
      <c r="AN14" s="782"/>
      <c r="AO14" s="782"/>
      <c r="AP14" s="782"/>
      <c r="AQ14" s="782"/>
      <c r="AR14" s="782"/>
      <c r="AS14" s="782"/>
      <c r="AT14" s="782"/>
      <c r="AU14" s="782"/>
      <c r="AV14" s="782"/>
      <c r="AW14" s="782"/>
      <c r="AX14" s="782"/>
      <c r="AY14" s="782"/>
      <c r="AZ14" s="782"/>
      <c r="BA14" s="782"/>
      <c r="BB14" s="782"/>
      <c r="BC14" s="782"/>
      <c r="BD14" s="782"/>
      <c r="BE14" s="782"/>
      <c r="BF14" s="782"/>
      <c r="BG14" s="782"/>
      <c r="BH14" s="782"/>
      <c r="BI14" s="782"/>
      <c r="BJ14" s="782"/>
      <c r="BK14" s="782"/>
      <c r="BL14" s="782"/>
      <c r="BM14" s="782"/>
      <c r="BN14" s="782"/>
      <c r="BO14" s="782"/>
      <c r="BP14" s="782"/>
      <c r="BQ14" s="782"/>
      <c r="BR14" s="782"/>
      <c r="BS14" s="782"/>
      <c r="BT14" s="782"/>
      <c r="BU14" s="782"/>
      <c r="BV14" s="782"/>
      <c r="BW14" s="782"/>
      <c r="BX14" s="782"/>
      <c r="BY14" s="782"/>
      <c r="BZ14" s="782"/>
      <c r="CA14" s="782"/>
      <c r="CB14" s="782"/>
      <c r="CC14" s="782"/>
      <c r="CD14" s="782"/>
      <c r="CE14" s="782"/>
      <c r="CF14" s="782"/>
      <c r="CG14" s="782"/>
      <c r="CH14" s="782"/>
      <c r="CI14" s="782"/>
      <c r="CJ14" s="782"/>
      <c r="CK14" s="782"/>
      <c r="CL14" s="782"/>
      <c r="CM14" s="782"/>
      <c r="CN14" s="782"/>
      <c r="CO14" s="782"/>
      <c r="CP14" s="782"/>
      <c r="CQ14" s="782"/>
      <c r="CR14" s="782"/>
      <c r="CS14" s="782"/>
      <c r="CT14" s="782"/>
      <c r="CU14" s="782"/>
      <c r="CV14" s="782"/>
      <c r="CW14" s="782"/>
      <c r="CX14" s="782"/>
      <c r="CY14" s="782"/>
      <c r="CZ14" s="782"/>
      <c r="DA14" s="782"/>
      <c r="DB14" s="782"/>
      <c r="DC14" s="782"/>
      <c r="DD14" s="782"/>
      <c r="DE14" s="782"/>
      <c r="DF14" s="782"/>
      <c r="DG14" s="782"/>
      <c r="DH14" s="782"/>
      <c r="DI14" s="782"/>
      <c r="DJ14" s="782"/>
      <c r="DK14" s="782"/>
      <c r="DL14" s="782"/>
      <c r="DM14" s="782"/>
      <c r="DN14" s="782"/>
      <c r="DO14" s="782"/>
      <c r="DP14" s="782"/>
      <c r="DQ14" s="782"/>
      <c r="DR14" s="782"/>
      <c r="DS14" s="782"/>
      <c r="DT14" s="782"/>
      <c r="DU14" s="782"/>
      <c r="DV14" s="782"/>
      <c r="DW14" s="782"/>
      <c r="DX14" s="782"/>
      <c r="DY14" s="782"/>
      <c r="DZ14" s="782"/>
      <c r="EA14" s="782"/>
      <c r="EB14" s="782"/>
      <c r="EC14" s="782"/>
      <c r="ED14" s="782"/>
      <c r="EE14" s="782"/>
      <c r="EF14" s="782"/>
      <c r="EG14" s="782"/>
      <c r="EH14" s="782"/>
      <c r="EI14" s="782"/>
      <c r="EJ14" s="782"/>
      <c r="EK14" s="782"/>
      <c r="EL14" s="782"/>
      <c r="EM14" s="782"/>
      <c r="EN14" s="782"/>
      <c r="EO14" s="782"/>
      <c r="EP14" s="782"/>
      <c r="EQ14" s="782"/>
      <c r="ER14" s="782"/>
      <c r="ES14" s="782"/>
      <c r="ET14" s="782"/>
      <c r="EU14" s="782"/>
      <c r="EV14" s="782"/>
      <c r="EW14" s="782"/>
      <c r="EX14" s="782"/>
      <c r="EY14" s="782"/>
      <c r="EZ14" s="782"/>
      <c r="FA14" s="782"/>
      <c r="FB14" s="782"/>
      <c r="FC14" s="782"/>
      <c r="FD14" s="782"/>
      <c r="FE14" s="782"/>
      <c r="FF14" s="782"/>
      <c r="FG14" s="782"/>
      <c r="FH14" s="782"/>
      <c r="FI14" s="782"/>
      <c r="FJ14" s="782"/>
      <c r="FK14" s="782"/>
      <c r="FL14" s="782"/>
      <c r="FM14" s="782"/>
      <c r="FN14" s="782"/>
      <c r="FO14" s="782"/>
      <c r="FP14" s="782"/>
      <c r="FQ14" s="782"/>
      <c r="FR14" s="782"/>
      <c r="FS14" s="782"/>
      <c r="FT14" s="782"/>
      <c r="FU14" s="782"/>
      <c r="FV14" s="782"/>
      <c r="FW14" s="782"/>
      <c r="FX14" s="782"/>
      <c r="FY14" s="782"/>
      <c r="FZ14" s="782"/>
      <c r="GA14" s="782"/>
      <c r="GB14" s="782"/>
      <c r="GC14" s="782"/>
      <c r="GD14" s="782"/>
      <c r="GE14" s="782"/>
      <c r="GF14" s="782"/>
      <c r="GG14" s="782"/>
      <c r="GH14" s="782"/>
      <c r="GI14" s="782"/>
      <c r="GJ14" s="782"/>
      <c r="GK14" s="782"/>
      <c r="GL14" s="782"/>
      <c r="GM14" s="782"/>
      <c r="GN14" s="782"/>
      <c r="GO14" s="782"/>
      <c r="GP14" s="782"/>
      <c r="GQ14" s="782"/>
      <c r="GR14" s="782"/>
      <c r="GS14" s="782"/>
      <c r="GT14" s="782"/>
      <c r="GU14" s="782"/>
      <c r="GV14" s="782"/>
      <c r="GW14" s="782"/>
      <c r="GX14" s="782"/>
      <c r="GY14" s="782"/>
      <c r="GZ14" s="782"/>
      <c r="HA14" s="782"/>
      <c r="HB14" s="782"/>
      <c r="HC14" s="782"/>
      <c r="HD14" s="782"/>
      <c r="HE14" s="782"/>
      <c r="HF14" s="782"/>
      <c r="HG14" s="782"/>
      <c r="HH14" s="782"/>
      <c r="HI14" s="782"/>
      <c r="HJ14" s="782"/>
      <c r="HK14" s="782"/>
      <c r="HL14" s="782"/>
      <c r="HM14" s="782"/>
      <c r="HN14" s="782"/>
      <c r="HO14" s="782"/>
      <c r="HP14" s="782"/>
      <c r="HQ14" s="782"/>
      <c r="HR14" s="782"/>
      <c r="HS14" s="782"/>
      <c r="HT14" s="782"/>
      <c r="HU14" s="782"/>
      <c r="HV14" s="782"/>
      <c r="HW14" s="782"/>
      <c r="HX14" s="782"/>
      <c r="HY14" s="782"/>
      <c r="HZ14" s="782"/>
      <c r="IA14" s="782"/>
      <c r="IB14" s="782"/>
      <c r="IC14" s="782"/>
      <c r="ID14" s="782"/>
      <c r="IE14" s="782"/>
      <c r="IF14" s="782"/>
      <c r="IG14" s="782"/>
      <c r="IH14" s="782"/>
      <c r="II14" s="782"/>
      <c r="IJ14" s="782"/>
      <c r="IK14" s="782"/>
      <c r="IL14" s="782"/>
      <c r="IM14" s="782"/>
      <c r="IN14" s="782"/>
      <c r="IO14" s="782"/>
      <c r="IP14" s="782"/>
      <c r="IQ14" s="782"/>
      <c r="IR14" s="782"/>
      <c r="IS14" s="782"/>
      <c r="IT14" s="782"/>
      <c r="IU14" s="782"/>
      <c r="IV14" s="782"/>
      <c r="IW14" s="782"/>
      <c r="IX14" s="782"/>
      <c r="IY14" s="782"/>
      <c r="IZ14" s="782"/>
      <c r="JA14" s="782"/>
      <c r="JB14" s="782"/>
      <c r="JC14" s="782"/>
      <c r="JD14" s="782"/>
      <c r="JE14" s="782"/>
      <c r="JF14" s="782"/>
      <c r="JG14" s="782"/>
      <c r="JH14" s="782"/>
      <c r="JI14" s="782"/>
      <c r="JJ14" s="782"/>
      <c r="JK14" s="782"/>
      <c r="JL14" s="782"/>
      <c r="JM14" s="782"/>
      <c r="JN14" s="782"/>
      <c r="JO14" s="782"/>
      <c r="JP14" s="782"/>
      <c r="JQ14" s="782"/>
      <c r="JR14" s="782"/>
      <c r="JS14" s="782"/>
      <c r="JT14" s="782"/>
      <c r="JU14" s="782"/>
      <c r="JV14" s="782"/>
      <c r="JW14" s="782"/>
      <c r="JX14" s="782"/>
      <c r="JY14" s="782"/>
      <c r="JZ14" s="782"/>
      <c r="KA14" s="782"/>
      <c r="KB14" s="782"/>
      <c r="KC14" s="782"/>
      <c r="KD14" s="782"/>
      <c r="KE14" s="782"/>
      <c r="KF14" s="782"/>
      <c r="KG14" s="782"/>
      <c r="KH14" s="782"/>
      <c r="KI14" s="782"/>
      <c r="KJ14" s="782"/>
      <c r="KK14" s="782"/>
      <c r="KL14" s="782"/>
      <c r="KM14" s="782"/>
      <c r="KN14" s="782"/>
      <c r="KO14" s="782"/>
      <c r="KP14" s="782"/>
      <c r="KQ14" s="782"/>
      <c r="KR14" s="782"/>
      <c r="KS14" s="782"/>
      <c r="KT14" s="782"/>
      <c r="KU14" s="782"/>
      <c r="KV14" s="782"/>
      <c r="KW14" s="782"/>
      <c r="KX14" s="782"/>
      <c r="KY14" s="782"/>
      <c r="KZ14" s="782"/>
      <c r="LA14" s="782"/>
      <c r="LB14" s="782"/>
      <c r="LC14" s="782"/>
      <c r="LD14" s="782"/>
      <c r="LE14" s="782"/>
      <c r="LF14" s="782"/>
      <c r="LG14" s="782"/>
      <c r="LH14" s="782"/>
      <c r="LI14" s="782"/>
      <c r="LJ14" s="782"/>
      <c r="LK14" s="782"/>
      <c r="LL14" s="782"/>
      <c r="LM14" s="782"/>
      <c r="LN14" s="782"/>
      <c r="LO14" s="782"/>
      <c r="LP14" s="782"/>
      <c r="LQ14" s="782"/>
      <c r="LR14" s="782"/>
      <c r="LS14" s="782"/>
      <c r="LT14" s="782"/>
      <c r="LU14" s="782"/>
      <c r="LV14" s="782"/>
      <c r="LW14" s="782"/>
      <c r="LX14" s="782"/>
      <c r="LY14" s="782"/>
      <c r="LZ14" s="782"/>
      <c r="MA14" s="782"/>
      <c r="MB14" s="782"/>
      <c r="MC14" s="782"/>
      <c r="MD14" s="782"/>
      <c r="ME14" s="782"/>
      <c r="MF14" s="782"/>
      <c r="MG14" s="782"/>
      <c r="MH14" s="782"/>
      <c r="MI14" s="782"/>
      <c r="MJ14" s="782"/>
      <c r="MK14" s="782"/>
      <c r="ML14" s="782"/>
      <c r="MM14" s="782"/>
      <c r="MN14" s="782"/>
      <c r="MO14" s="782"/>
      <c r="MP14" s="782"/>
      <c r="MQ14" s="782"/>
      <c r="MR14" s="782"/>
      <c r="MS14" s="782"/>
      <c r="MT14" s="782"/>
      <c r="MU14" s="782"/>
      <c r="MV14" s="782"/>
      <c r="MW14" s="782"/>
      <c r="MX14" s="782"/>
      <c r="MY14" s="782"/>
      <c r="MZ14" s="782"/>
      <c r="NA14" s="782"/>
      <c r="NB14" s="782"/>
      <c r="NC14" s="782"/>
      <c r="ND14" s="782"/>
      <c r="NE14" s="782"/>
      <c r="NF14" s="782"/>
      <c r="NG14" s="782"/>
      <c r="NH14" s="782"/>
      <c r="NI14" s="782"/>
      <c r="NJ14" s="782"/>
      <c r="NK14" s="782"/>
      <c r="NL14" s="782"/>
      <c r="NM14" s="782"/>
      <c r="NN14" s="782"/>
      <c r="NO14" s="782"/>
      <c r="NP14" s="782"/>
      <c r="NQ14" s="782"/>
      <c r="NR14" s="782"/>
      <c r="NS14" s="782"/>
      <c r="NT14" s="782"/>
      <c r="NU14" s="782"/>
      <c r="NV14" s="782"/>
      <c r="NW14" s="782"/>
      <c r="NX14" s="782"/>
      <c r="NY14" s="782"/>
      <c r="NZ14" s="782"/>
      <c r="OA14" s="782"/>
      <c r="OB14" s="782"/>
      <c r="OC14" s="782"/>
      <c r="OD14" s="782"/>
      <c r="OE14" s="782"/>
      <c r="OF14" s="782"/>
      <c r="OG14" s="782"/>
      <c r="OH14" s="782"/>
      <c r="OI14" s="782"/>
      <c r="OJ14" s="782"/>
      <c r="OK14" s="782"/>
      <c r="OL14" s="782"/>
      <c r="OM14" s="782"/>
      <c r="ON14" s="782"/>
      <c r="OO14" s="782"/>
      <c r="OP14" s="782"/>
      <c r="OQ14" s="782"/>
      <c r="OR14" s="782"/>
      <c r="OS14" s="782"/>
      <c r="OT14" s="782"/>
      <c r="OU14" s="782"/>
      <c r="OV14" s="782"/>
      <c r="OW14" s="782"/>
      <c r="OX14" s="782"/>
      <c r="OY14" s="782"/>
      <c r="OZ14" s="782"/>
      <c r="PA14" s="782"/>
      <c r="PB14" s="782"/>
      <c r="PC14" s="782"/>
      <c r="PD14" s="782"/>
      <c r="PE14" s="782"/>
      <c r="PF14" s="782"/>
      <c r="PG14" s="782"/>
      <c r="PH14" s="782"/>
      <c r="PI14" s="782"/>
      <c r="PJ14" s="782"/>
      <c r="PK14" s="782"/>
      <c r="PL14" s="782"/>
      <c r="PM14" s="782"/>
      <c r="PN14" s="782"/>
      <c r="PO14" s="782"/>
    </row>
    <row r="15" spans="1:431" s="143" customFormat="1">
      <c r="A15" s="782"/>
      <c r="B15" s="782"/>
      <c r="C15" s="785"/>
      <c r="D15" s="785"/>
      <c r="E15" s="785"/>
      <c r="F15" s="785"/>
      <c r="G15" s="785"/>
      <c r="H15" s="785"/>
      <c r="I15" s="785"/>
      <c r="J15" s="785"/>
      <c r="K15" s="785"/>
      <c r="L15" s="785"/>
      <c r="M15" s="782"/>
      <c r="N15" s="782"/>
      <c r="O15" s="782"/>
      <c r="P15" s="782"/>
      <c r="Q15" s="782"/>
      <c r="R15" s="782"/>
      <c r="S15" s="782"/>
      <c r="T15" s="782"/>
      <c r="U15" s="782"/>
      <c r="V15" s="782"/>
      <c r="W15" s="782"/>
      <c r="X15" s="782"/>
      <c r="Y15" s="782"/>
      <c r="Z15" s="782"/>
      <c r="AA15" s="782"/>
      <c r="AB15" s="782"/>
      <c r="AC15" s="782"/>
      <c r="AD15" s="782"/>
      <c r="AE15" s="782"/>
      <c r="AF15" s="782"/>
      <c r="AG15" s="782"/>
      <c r="AH15" s="782"/>
      <c r="AI15" s="782"/>
      <c r="AJ15" s="782"/>
      <c r="AK15" s="782"/>
      <c r="AL15" s="782"/>
      <c r="AM15" s="782"/>
      <c r="AN15" s="782"/>
      <c r="AO15" s="782"/>
      <c r="AP15" s="782"/>
      <c r="AQ15" s="782"/>
      <c r="AR15" s="782"/>
      <c r="AS15" s="782"/>
      <c r="AT15" s="782"/>
      <c r="AU15" s="782"/>
      <c r="AV15" s="782"/>
      <c r="AW15" s="782"/>
      <c r="AX15" s="782"/>
      <c r="AY15" s="782"/>
      <c r="AZ15" s="782"/>
      <c r="BA15" s="782"/>
      <c r="BB15" s="782"/>
      <c r="BC15" s="782"/>
      <c r="BD15" s="782"/>
      <c r="BE15" s="782"/>
      <c r="BF15" s="782"/>
      <c r="BG15" s="782"/>
      <c r="BH15" s="782"/>
      <c r="BI15" s="782"/>
      <c r="BJ15" s="782"/>
      <c r="BK15" s="782"/>
      <c r="BL15" s="782"/>
      <c r="BM15" s="782"/>
      <c r="BN15" s="782"/>
      <c r="BO15" s="782"/>
      <c r="BP15" s="782"/>
      <c r="BQ15" s="782"/>
      <c r="BR15" s="782"/>
      <c r="BS15" s="782"/>
      <c r="BT15" s="782"/>
      <c r="BU15" s="782"/>
      <c r="BV15" s="782"/>
      <c r="BW15" s="782"/>
      <c r="BX15" s="782"/>
      <c r="BY15" s="782"/>
      <c r="BZ15" s="782"/>
      <c r="CA15" s="782"/>
      <c r="CB15" s="782"/>
      <c r="CC15" s="782"/>
      <c r="CD15" s="782"/>
      <c r="CE15" s="782"/>
      <c r="CF15" s="782"/>
      <c r="CG15" s="782"/>
      <c r="CH15" s="782"/>
      <c r="CI15" s="782"/>
      <c r="CJ15" s="782"/>
      <c r="CK15" s="782"/>
      <c r="CL15" s="782"/>
      <c r="CM15" s="782"/>
      <c r="CN15" s="782"/>
      <c r="CO15" s="782"/>
      <c r="CP15" s="782"/>
      <c r="CQ15" s="782"/>
      <c r="CR15" s="782"/>
      <c r="CS15" s="782"/>
      <c r="CT15" s="782"/>
      <c r="CU15" s="782"/>
      <c r="CV15" s="782"/>
      <c r="CW15" s="782"/>
      <c r="CX15" s="782"/>
      <c r="CY15" s="782"/>
      <c r="CZ15" s="782"/>
      <c r="DA15" s="782"/>
      <c r="DB15" s="782"/>
      <c r="DC15" s="782"/>
      <c r="DD15" s="782"/>
      <c r="DE15" s="782"/>
      <c r="DF15" s="782"/>
      <c r="DG15" s="782"/>
      <c r="DH15" s="782"/>
      <c r="DI15" s="782"/>
      <c r="DJ15" s="782"/>
      <c r="DK15" s="782"/>
      <c r="DL15" s="782"/>
      <c r="DM15" s="782"/>
      <c r="DN15" s="782"/>
      <c r="DO15" s="782"/>
      <c r="DP15" s="782"/>
      <c r="DQ15" s="782"/>
      <c r="DR15" s="782"/>
      <c r="DS15" s="782"/>
      <c r="DT15" s="782"/>
      <c r="DU15" s="782"/>
      <c r="DV15" s="782"/>
      <c r="DW15" s="782"/>
      <c r="DX15" s="782"/>
      <c r="DY15" s="782"/>
      <c r="DZ15" s="782"/>
      <c r="EA15" s="782"/>
      <c r="EB15" s="782"/>
      <c r="EC15" s="782"/>
      <c r="ED15" s="782"/>
      <c r="EE15" s="782"/>
      <c r="EF15" s="782"/>
      <c r="EG15" s="782"/>
      <c r="EH15" s="782"/>
      <c r="EI15" s="782"/>
      <c r="EJ15" s="782"/>
      <c r="EK15" s="782"/>
      <c r="EL15" s="782"/>
      <c r="EM15" s="782"/>
      <c r="EN15" s="782"/>
      <c r="EO15" s="782"/>
      <c r="EP15" s="782"/>
      <c r="EQ15" s="782"/>
      <c r="ER15" s="782"/>
      <c r="ES15" s="782"/>
      <c r="ET15" s="782"/>
      <c r="EU15" s="782"/>
      <c r="EV15" s="782"/>
      <c r="EW15" s="782"/>
      <c r="EX15" s="782"/>
      <c r="EY15" s="782"/>
      <c r="EZ15" s="782"/>
      <c r="FA15" s="782"/>
      <c r="FB15" s="782"/>
      <c r="FC15" s="782"/>
      <c r="FD15" s="782"/>
      <c r="FE15" s="782"/>
      <c r="FF15" s="782"/>
      <c r="FG15" s="782"/>
      <c r="FH15" s="782"/>
      <c r="FI15" s="782"/>
      <c r="FJ15" s="782"/>
      <c r="FK15" s="782"/>
      <c r="FL15" s="782"/>
      <c r="FM15" s="782"/>
      <c r="FN15" s="782"/>
      <c r="FO15" s="782"/>
      <c r="FP15" s="782"/>
      <c r="FQ15" s="782"/>
      <c r="FR15" s="782"/>
      <c r="FS15" s="782"/>
      <c r="FT15" s="782"/>
      <c r="FU15" s="782"/>
      <c r="FV15" s="782"/>
      <c r="FW15" s="782"/>
      <c r="FX15" s="782"/>
      <c r="FY15" s="782"/>
      <c r="FZ15" s="782"/>
      <c r="GA15" s="782"/>
      <c r="GB15" s="782"/>
      <c r="GC15" s="782"/>
      <c r="GD15" s="782"/>
      <c r="GE15" s="782"/>
      <c r="GF15" s="782"/>
      <c r="GG15" s="782"/>
      <c r="GH15" s="782"/>
      <c r="GI15" s="782"/>
      <c r="GJ15" s="782"/>
      <c r="GK15" s="782"/>
      <c r="GL15" s="782"/>
      <c r="GM15" s="782"/>
      <c r="GN15" s="782"/>
      <c r="GO15" s="782"/>
      <c r="GP15" s="782"/>
      <c r="GQ15" s="782"/>
      <c r="GR15" s="782"/>
      <c r="GS15" s="782"/>
      <c r="GT15" s="782"/>
      <c r="GU15" s="782"/>
      <c r="GV15" s="782"/>
      <c r="GW15" s="782"/>
      <c r="GX15" s="782"/>
      <c r="GY15" s="782"/>
      <c r="GZ15" s="782"/>
      <c r="HA15" s="782"/>
      <c r="HB15" s="782"/>
      <c r="HC15" s="782"/>
      <c r="HD15" s="782"/>
      <c r="HE15" s="782"/>
      <c r="HF15" s="782"/>
      <c r="HG15" s="782"/>
      <c r="HH15" s="782"/>
      <c r="HI15" s="782"/>
      <c r="HJ15" s="782"/>
      <c r="HK15" s="782"/>
      <c r="HL15" s="782"/>
      <c r="HM15" s="782"/>
      <c r="HN15" s="782"/>
      <c r="HO15" s="782"/>
      <c r="HP15" s="782"/>
      <c r="HQ15" s="782"/>
      <c r="HR15" s="782"/>
      <c r="HS15" s="782"/>
      <c r="HT15" s="782"/>
      <c r="HU15" s="782"/>
      <c r="HV15" s="782"/>
      <c r="HW15" s="782"/>
      <c r="HX15" s="782"/>
      <c r="HY15" s="782"/>
      <c r="HZ15" s="782"/>
      <c r="IA15" s="782"/>
      <c r="IB15" s="782"/>
      <c r="IC15" s="782"/>
      <c r="ID15" s="782"/>
      <c r="IE15" s="782"/>
      <c r="IF15" s="782"/>
      <c r="IG15" s="782"/>
      <c r="IH15" s="782"/>
      <c r="II15" s="782"/>
      <c r="IJ15" s="782"/>
      <c r="IK15" s="782"/>
      <c r="IL15" s="782"/>
      <c r="IM15" s="782"/>
      <c r="IN15" s="782"/>
      <c r="IO15" s="782"/>
      <c r="IP15" s="782"/>
      <c r="IQ15" s="782"/>
      <c r="IR15" s="782"/>
      <c r="IS15" s="782"/>
      <c r="IT15" s="782"/>
      <c r="IU15" s="782"/>
      <c r="IV15" s="782"/>
      <c r="IW15" s="782"/>
      <c r="IX15" s="782"/>
      <c r="IY15" s="782"/>
      <c r="IZ15" s="782"/>
      <c r="JA15" s="782"/>
      <c r="JB15" s="782"/>
      <c r="JC15" s="782"/>
      <c r="JD15" s="782"/>
      <c r="JE15" s="782"/>
      <c r="JF15" s="782"/>
      <c r="JG15" s="782"/>
      <c r="JH15" s="782"/>
      <c r="JI15" s="782"/>
      <c r="JJ15" s="782"/>
      <c r="JK15" s="782"/>
      <c r="JL15" s="782"/>
      <c r="JM15" s="782"/>
      <c r="JN15" s="782"/>
      <c r="JO15" s="782"/>
      <c r="JP15" s="782"/>
      <c r="JQ15" s="782"/>
      <c r="JR15" s="782"/>
      <c r="JS15" s="782"/>
      <c r="JT15" s="782"/>
      <c r="JU15" s="782"/>
      <c r="JV15" s="782"/>
      <c r="JW15" s="782"/>
      <c r="JX15" s="782"/>
      <c r="JY15" s="782"/>
      <c r="JZ15" s="782"/>
      <c r="KA15" s="782"/>
      <c r="KB15" s="782"/>
      <c r="KC15" s="782"/>
      <c r="KD15" s="782"/>
      <c r="KE15" s="782"/>
      <c r="KF15" s="782"/>
      <c r="KG15" s="782"/>
      <c r="KH15" s="782"/>
      <c r="KI15" s="782"/>
      <c r="KJ15" s="782"/>
      <c r="KK15" s="782"/>
      <c r="KL15" s="782"/>
      <c r="KM15" s="782"/>
      <c r="KN15" s="782"/>
      <c r="KO15" s="782"/>
      <c r="KP15" s="782"/>
      <c r="KQ15" s="782"/>
      <c r="KR15" s="782"/>
      <c r="KS15" s="782"/>
      <c r="KT15" s="782"/>
      <c r="KU15" s="782"/>
      <c r="KV15" s="782"/>
      <c r="KW15" s="782"/>
      <c r="KX15" s="782"/>
      <c r="KY15" s="782"/>
      <c r="KZ15" s="782"/>
      <c r="LA15" s="782"/>
      <c r="LB15" s="782"/>
      <c r="LC15" s="782"/>
      <c r="LD15" s="782"/>
      <c r="LE15" s="782"/>
      <c r="LF15" s="782"/>
      <c r="LG15" s="782"/>
      <c r="LH15" s="782"/>
      <c r="LI15" s="782"/>
      <c r="LJ15" s="782"/>
      <c r="LK15" s="782"/>
      <c r="LL15" s="782"/>
      <c r="LM15" s="782"/>
      <c r="LN15" s="782"/>
      <c r="LO15" s="782"/>
      <c r="LP15" s="782"/>
      <c r="LQ15" s="782"/>
      <c r="LR15" s="782"/>
      <c r="LS15" s="782"/>
      <c r="LT15" s="782"/>
      <c r="LU15" s="782"/>
      <c r="LV15" s="782"/>
      <c r="LW15" s="782"/>
      <c r="LX15" s="782"/>
      <c r="LY15" s="782"/>
      <c r="LZ15" s="782"/>
      <c r="MA15" s="782"/>
      <c r="MB15" s="782"/>
      <c r="MC15" s="782"/>
      <c r="MD15" s="782"/>
      <c r="ME15" s="782"/>
      <c r="MF15" s="782"/>
      <c r="MG15" s="782"/>
      <c r="MH15" s="782"/>
      <c r="MI15" s="782"/>
      <c r="MJ15" s="782"/>
      <c r="MK15" s="782"/>
      <c r="ML15" s="782"/>
      <c r="MM15" s="782"/>
      <c r="MN15" s="782"/>
      <c r="MO15" s="782"/>
      <c r="MP15" s="782"/>
      <c r="MQ15" s="782"/>
      <c r="MR15" s="782"/>
      <c r="MS15" s="782"/>
      <c r="MT15" s="782"/>
      <c r="MU15" s="782"/>
      <c r="MV15" s="782"/>
      <c r="MW15" s="782"/>
      <c r="MX15" s="782"/>
      <c r="MY15" s="782"/>
      <c r="MZ15" s="782"/>
      <c r="NA15" s="782"/>
      <c r="NB15" s="782"/>
      <c r="NC15" s="782"/>
      <c r="ND15" s="782"/>
      <c r="NE15" s="782"/>
      <c r="NF15" s="782"/>
      <c r="NG15" s="782"/>
      <c r="NH15" s="782"/>
      <c r="NI15" s="782"/>
      <c r="NJ15" s="782"/>
      <c r="NK15" s="782"/>
      <c r="NL15" s="782"/>
      <c r="NM15" s="782"/>
      <c r="NN15" s="782"/>
      <c r="NO15" s="782"/>
      <c r="NP15" s="782"/>
      <c r="NQ15" s="782"/>
      <c r="NR15" s="782"/>
      <c r="NS15" s="782"/>
      <c r="NT15" s="782"/>
      <c r="NU15" s="782"/>
      <c r="NV15" s="782"/>
      <c r="NW15" s="782"/>
      <c r="NX15" s="782"/>
      <c r="NY15" s="782"/>
      <c r="NZ15" s="782"/>
      <c r="OA15" s="782"/>
      <c r="OB15" s="782"/>
      <c r="OC15" s="782"/>
      <c r="OD15" s="782"/>
      <c r="OE15" s="782"/>
      <c r="OF15" s="782"/>
      <c r="OG15" s="782"/>
      <c r="OH15" s="782"/>
      <c r="OI15" s="782"/>
      <c r="OJ15" s="782"/>
      <c r="OK15" s="782"/>
      <c r="OL15" s="782"/>
      <c r="OM15" s="782"/>
      <c r="ON15" s="782"/>
      <c r="OO15" s="782"/>
      <c r="OP15" s="782"/>
      <c r="OQ15" s="782"/>
      <c r="OR15" s="782"/>
      <c r="OS15" s="782"/>
      <c r="OT15" s="782"/>
      <c r="OU15" s="782"/>
      <c r="OV15" s="782"/>
      <c r="OW15" s="782"/>
      <c r="OX15" s="782"/>
      <c r="OY15" s="782"/>
      <c r="OZ15" s="782"/>
      <c r="PA15" s="782"/>
      <c r="PB15" s="782"/>
      <c r="PC15" s="782"/>
      <c r="PD15" s="782"/>
      <c r="PE15" s="782"/>
      <c r="PF15" s="782"/>
      <c r="PG15" s="782"/>
      <c r="PH15" s="782"/>
      <c r="PI15" s="782"/>
      <c r="PJ15" s="782"/>
      <c r="PK15" s="782"/>
      <c r="PL15" s="782"/>
      <c r="PM15" s="782"/>
      <c r="PN15" s="782"/>
      <c r="PO15" s="782"/>
    </row>
    <row r="16" spans="1:431" s="143" customFormat="1">
      <c r="A16" s="782"/>
      <c r="B16" s="782"/>
      <c r="C16" s="785"/>
      <c r="D16" s="785"/>
      <c r="E16" s="785"/>
      <c r="F16" s="785"/>
      <c r="G16" s="785"/>
      <c r="H16" s="785"/>
      <c r="I16" s="785"/>
      <c r="J16" s="785"/>
      <c r="K16" s="785"/>
      <c r="L16" s="785"/>
      <c r="M16" s="782"/>
      <c r="N16" s="782"/>
      <c r="O16" s="782"/>
      <c r="P16" s="782"/>
      <c r="Q16" s="782"/>
      <c r="R16" s="782"/>
      <c r="S16" s="782"/>
      <c r="T16" s="782"/>
      <c r="U16" s="782"/>
      <c r="V16" s="782"/>
      <c r="W16" s="782"/>
      <c r="X16" s="782"/>
      <c r="Y16" s="782"/>
      <c r="Z16" s="782"/>
      <c r="AA16" s="782"/>
      <c r="AB16" s="782"/>
      <c r="AC16" s="782"/>
      <c r="AD16" s="782"/>
      <c r="AE16" s="782"/>
      <c r="AF16" s="782"/>
      <c r="AG16" s="782"/>
      <c r="AH16" s="782"/>
      <c r="AI16" s="782"/>
      <c r="AJ16" s="782"/>
      <c r="AK16" s="782"/>
      <c r="AL16" s="782"/>
      <c r="AM16" s="782"/>
      <c r="AN16" s="782"/>
      <c r="AO16" s="782"/>
      <c r="AP16" s="782"/>
      <c r="AQ16" s="782"/>
      <c r="AR16" s="782"/>
      <c r="AS16" s="782"/>
      <c r="AT16" s="782"/>
      <c r="AU16" s="782"/>
      <c r="AV16" s="782"/>
      <c r="AW16" s="782"/>
      <c r="AX16" s="782"/>
      <c r="AY16" s="782"/>
      <c r="AZ16" s="782"/>
      <c r="BA16" s="782"/>
      <c r="BB16" s="782"/>
      <c r="BC16" s="782"/>
      <c r="BD16" s="782"/>
      <c r="BE16" s="782"/>
      <c r="BF16" s="782"/>
      <c r="BG16" s="782"/>
      <c r="BH16" s="782"/>
      <c r="BI16" s="782"/>
      <c r="BJ16" s="782"/>
      <c r="BK16" s="782"/>
      <c r="BL16" s="782"/>
      <c r="BM16" s="782"/>
      <c r="BN16" s="782"/>
      <c r="BO16" s="782"/>
      <c r="BP16" s="782"/>
      <c r="BQ16" s="782"/>
      <c r="BR16" s="782"/>
      <c r="BS16" s="782"/>
      <c r="BT16" s="782"/>
      <c r="BU16" s="782"/>
      <c r="BV16" s="782"/>
      <c r="BW16" s="782"/>
      <c r="BX16" s="782"/>
      <c r="BY16" s="782"/>
      <c r="BZ16" s="782"/>
      <c r="CA16" s="782"/>
      <c r="CB16" s="782"/>
      <c r="CC16" s="782"/>
      <c r="CD16" s="782"/>
      <c r="CE16" s="782"/>
      <c r="CF16" s="782"/>
      <c r="CG16" s="782"/>
      <c r="CH16" s="782"/>
      <c r="CI16" s="782"/>
      <c r="CJ16" s="782"/>
      <c r="CK16" s="782"/>
      <c r="CL16" s="782"/>
      <c r="CM16" s="782"/>
      <c r="CN16" s="782"/>
      <c r="CO16" s="782"/>
      <c r="CP16" s="782"/>
      <c r="CQ16" s="782"/>
      <c r="CR16" s="782"/>
      <c r="CS16" s="782"/>
      <c r="CT16" s="782"/>
      <c r="CU16" s="782"/>
      <c r="CV16" s="782"/>
      <c r="CW16" s="782"/>
      <c r="CX16" s="782"/>
      <c r="CY16" s="782"/>
      <c r="CZ16" s="782"/>
      <c r="DA16" s="782"/>
      <c r="DB16" s="782"/>
      <c r="DC16" s="782"/>
      <c r="DD16" s="782"/>
      <c r="DE16" s="782"/>
      <c r="DF16" s="782"/>
      <c r="DG16" s="782"/>
      <c r="DH16" s="782"/>
      <c r="DI16" s="782"/>
      <c r="DJ16" s="782"/>
      <c r="DK16" s="782"/>
      <c r="DL16" s="782"/>
      <c r="DM16" s="782"/>
      <c r="DN16" s="782"/>
      <c r="DO16" s="782"/>
      <c r="DP16" s="782"/>
      <c r="DQ16" s="782"/>
      <c r="DR16" s="782"/>
      <c r="DS16" s="782"/>
      <c r="DT16" s="782"/>
      <c r="DU16" s="782"/>
      <c r="DV16" s="782"/>
      <c r="DW16" s="782"/>
      <c r="DX16" s="782"/>
      <c r="DY16" s="782"/>
      <c r="DZ16" s="782"/>
      <c r="EA16" s="782"/>
      <c r="EB16" s="782"/>
      <c r="EC16" s="782"/>
      <c r="ED16" s="782"/>
      <c r="EE16" s="782"/>
      <c r="EF16" s="782"/>
      <c r="EG16" s="782"/>
      <c r="EH16" s="782"/>
      <c r="EI16" s="782"/>
      <c r="EJ16" s="782"/>
      <c r="EK16" s="782"/>
      <c r="EL16" s="782"/>
      <c r="EM16" s="782"/>
      <c r="EN16" s="782"/>
      <c r="EO16" s="782"/>
      <c r="EP16" s="782"/>
      <c r="EQ16" s="782"/>
      <c r="ER16" s="782"/>
      <c r="ES16" s="782"/>
      <c r="ET16" s="782"/>
      <c r="EU16" s="782"/>
      <c r="EV16" s="782"/>
      <c r="EW16" s="782"/>
      <c r="EX16" s="782"/>
      <c r="EY16" s="782"/>
      <c r="EZ16" s="782"/>
      <c r="FA16" s="782"/>
      <c r="FB16" s="782"/>
      <c r="FC16" s="782"/>
      <c r="FD16" s="782"/>
      <c r="FE16" s="782"/>
      <c r="FF16" s="782"/>
      <c r="FG16" s="782"/>
      <c r="FH16" s="782"/>
      <c r="FI16" s="782"/>
      <c r="FJ16" s="782"/>
      <c r="FK16" s="782"/>
      <c r="FL16" s="782"/>
      <c r="FM16" s="782"/>
      <c r="FN16" s="782"/>
      <c r="FO16" s="782"/>
      <c r="FP16" s="782"/>
      <c r="FQ16" s="782"/>
      <c r="FR16" s="782"/>
      <c r="FS16" s="782"/>
      <c r="FT16" s="782"/>
      <c r="FU16" s="782"/>
      <c r="FV16" s="782"/>
      <c r="FW16" s="782"/>
      <c r="FX16" s="782"/>
      <c r="FY16" s="782"/>
      <c r="FZ16" s="782"/>
      <c r="GA16" s="782"/>
      <c r="GB16" s="782"/>
      <c r="GC16" s="782"/>
      <c r="GD16" s="782"/>
      <c r="GE16" s="782"/>
      <c r="GF16" s="782"/>
      <c r="GG16" s="782"/>
      <c r="GH16" s="782"/>
      <c r="GI16" s="782"/>
      <c r="GJ16" s="782"/>
      <c r="GK16" s="782"/>
      <c r="GL16" s="782"/>
      <c r="GM16" s="782"/>
      <c r="GN16" s="782"/>
      <c r="GO16" s="782"/>
      <c r="GP16" s="782"/>
      <c r="GQ16" s="782"/>
      <c r="GR16" s="782"/>
      <c r="GS16" s="782"/>
      <c r="GT16" s="782"/>
      <c r="GU16" s="782"/>
      <c r="GV16" s="782"/>
      <c r="GW16" s="782"/>
      <c r="GX16" s="782"/>
      <c r="GY16" s="782"/>
      <c r="GZ16" s="782"/>
      <c r="HA16" s="782"/>
      <c r="HB16" s="782"/>
      <c r="HC16" s="782"/>
      <c r="HD16" s="782"/>
      <c r="HE16" s="782"/>
      <c r="HF16" s="782"/>
      <c r="HG16" s="782"/>
      <c r="HH16" s="782"/>
      <c r="HI16" s="782"/>
      <c r="HJ16" s="782"/>
      <c r="HK16" s="782"/>
      <c r="HL16" s="782"/>
      <c r="HM16" s="782"/>
      <c r="HN16" s="782"/>
      <c r="HO16" s="782"/>
      <c r="HP16" s="782"/>
      <c r="HQ16" s="782"/>
      <c r="HR16" s="782"/>
      <c r="HS16" s="782"/>
      <c r="HT16" s="782"/>
      <c r="HU16" s="782"/>
      <c r="HV16" s="782"/>
      <c r="HW16" s="782"/>
      <c r="HX16" s="782"/>
      <c r="HY16" s="782"/>
      <c r="HZ16" s="782"/>
      <c r="IA16" s="782"/>
      <c r="IB16" s="782"/>
      <c r="IC16" s="782"/>
      <c r="ID16" s="782"/>
      <c r="IE16" s="782"/>
      <c r="IF16" s="782"/>
      <c r="IG16" s="782"/>
      <c r="IH16" s="782"/>
      <c r="II16" s="782"/>
      <c r="IJ16" s="782"/>
      <c r="IK16" s="782"/>
      <c r="IL16" s="782"/>
      <c r="IM16" s="782"/>
      <c r="IN16" s="782"/>
      <c r="IO16" s="782"/>
      <c r="IP16" s="782"/>
      <c r="IQ16" s="782"/>
      <c r="IR16" s="782"/>
      <c r="IS16" s="782"/>
      <c r="IT16" s="782"/>
      <c r="IU16" s="782"/>
      <c r="IV16" s="782"/>
      <c r="IW16" s="782"/>
      <c r="IX16" s="782"/>
      <c r="IY16" s="782"/>
      <c r="IZ16" s="782"/>
      <c r="JA16" s="782"/>
      <c r="JB16" s="782"/>
      <c r="JC16" s="782"/>
      <c r="JD16" s="782"/>
      <c r="JE16" s="782"/>
      <c r="JF16" s="782"/>
      <c r="JG16" s="782"/>
      <c r="JH16" s="782"/>
      <c r="JI16" s="782"/>
      <c r="JJ16" s="782"/>
      <c r="JK16" s="782"/>
      <c r="JL16" s="782"/>
      <c r="JM16" s="782"/>
      <c r="JN16" s="782"/>
      <c r="JO16" s="782"/>
      <c r="JP16" s="782"/>
      <c r="JQ16" s="782"/>
      <c r="JR16" s="782"/>
      <c r="JS16" s="782"/>
      <c r="JT16" s="782"/>
      <c r="JU16" s="782"/>
      <c r="JV16" s="782"/>
      <c r="JW16" s="782"/>
      <c r="JX16" s="782"/>
      <c r="JY16" s="782"/>
      <c r="JZ16" s="782"/>
      <c r="KA16" s="782"/>
      <c r="KB16" s="782"/>
      <c r="KC16" s="782"/>
      <c r="KD16" s="782"/>
      <c r="KE16" s="782"/>
      <c r="KF16" s="782"/>
      <c r="KG16" s="782"/>
      <c r="KH16" s="782"/>
      <c r="KI16" s="782"/>
      <c r="KJ16" s="782"/>
      <c r="KK16" s="782"/>
      <c r="KL16" s="782"/>
      <c r="KM16" s="782"/>
      <c r="KN16" s="782"/>
      <c r="KO16" s="782"/>
      <c r="KP16" s="782"/>
      <c r="KQ16" s="782"/>
      <c r="KR16" s="782"/>
      <c r="KS16" s="782"/>
      <c r="KT16" s="782"/>
      <c r="KU16" s="782"/>
      <c r="KV16" s="782"/>
      <c r="KW16" s="782"/>
      <c r="KX16" s="782"/>
      <c r="KY16" s="782"/>
      <c r="KZ16" s="782"/>
      <c r="LA16" s="782"/>
      <c r="LB16" s="782"/>
      <c r="LC16" s="782"/>
      <c r="LD16" s="782"/>
      <c r="LE16" s="782"/>
      <c r="LF16" s="782"/>
      <c r="LG16" s="782"/>
      <c r="LH16" s="782"/>
      <c r="LI16" s="782"/>
      <c r="LJ16" s="782"/>
      <c r="LK16" s="782"/>
      <c r="LL16" s="782"/>
      <c r="LM16" s="782"/>
      <c r="LN16" s="782"/>
      <c r="LO16" s="782"/>
      <c r="LP16" s="782"/>
      <c r="LQ16" s="782"/>
      <c r="LR16" s="782"/>
      <c r="LS16" s="782"/>
      <c r="LT16" s="782"/>
      <c r="LU16" s="782"/>
      <c r="LV16" s="782"/>
      <c r="LW16" s="782"/>
      <c r="LX16" s="782"/>
      <c r="LY16" s="782"/>
      <c r="LZ16" s="782"/>
      <c r="MA16" s="782"/>
      <c r="MB16" s="782"/>
      <c r="MC16" s="782"/>
      <c r="MD16" s="782"/>
      <c r="ME16" s="782"/>
      <c r="MF16" s="782"/>
      <c r="MG16" s="782"/>
      <c r="MH16" s="782"/>
      <c r="MI16" s="782"/>
      <c r="MJ16" s="782"/>
      <c r="MK16" s="782"/>
      <c r="ML16" s="782"/>
      <c r="MM16" s="782"/>
      <c r="MN16" s="782"/>
      <c r="MO16" s="782"/>
      <c r="MP16" s="782"/>
      <c r="MQ16" s="782"/>
      <c r="MR16" s="782"/>
      <c r="MS16" s="782"/>
      <c r="MT16" s="782"/>
      <c r="MU16" s="782"/>
      <c r="MV16" s="782"/>
      <c r="MW16" s="782"/>
      <c r="MX16" s="782"/>
      <c r="MY16" s="782"/>
      <c r="MZ16" s="782"/>
      <c r="NA16" s="782"/>
      <c r="NB16" s="782"/>
      <c r="NC16" s="782"/>
      <c r="ND16" s="782"/>
      <c r="NE16" s="782"/>
      <c r="NF16" s="782"/>
      <c r="NG16" s="782"/>
      <c r="NH16" s="782"/>
      <c r="NI16" s="782"/>
      <c r="NJ16" s="782"/>
      <c r="NK16" s="782"/>
      <c r="NL16" s="782"/>
      <c r="NM16" s="782"/>
      <c r="NN16" s="782"/>
      <c r="NO16" s="782"/>
      <c r="NP16" s="782"/>
      <c r="NQ16" s="782"/>
      <c r="NR16" s="782"/>
      <c r="NS16" s="782"/>
      <c r="NT16" s="782"/>
      <c r="NU16" s="782"/>
      <c r="NV16" s="782"/>
      <c r="NW16" s="782"/>
      <c r="NX16" s="782"/>
      <c r="NY16" s="782"/>
      <c r="NZ16" s="782"/>
      <c r="OA16" s="782"/>
      <c r="OB16" s="782"/>
      <c r="OC16" s="782"/>
      <c r="OD16" s="782"/>
      <c r="OE16" s="782"/>
      <c r="OF16" s="782"/>
      <c r="OG16" s="782"/>
      <c r="OH16" s="782"/>
      <c r="OI16" s="782"/>
      <c r="OJ16" s="782"/>
      <c r="OK16" s="782"/>
      <c r="OL16" s="782"/>
      <c r="OM16" s="782"/>
      <c r="ON16" s="782"/>
      <c r="OO16" s="782"/>
      <c r="OP16" s="782"/>
      <c r="OQ16" s="782"/>
      <c r="OR16" s="782"/>
      <c r="OS16" s="782"/>
      <c r="OT16" s="782"/>
      <c r="OU16" s="782"/>
      <c r="OV16" s="782"/>
      <c r="OW16" s="782"/>
      <c r="OX16" s="782"/>
      <c r="OY16" s="782"/>
      <c r="OZ16" s="782"/>
      <c r="PA16" s="782"/>
      <c r="PB16" s="782"/>
      <c r="PC16" s="782"/>
      <c r="PD16" s="782"/>
      <c r="PE16" s="782"/>
      <c r="PF16" s="782"/>
      <c r="PG16" s="782"/>
      <c r="PH16" s="782"/>
      <c r="PI16" s="782"/>
      <c r="PJ16" s="782"/>
      <c r="PK16" s="782"/>
      <c r="PL16" s="782"/>
      <c r="PM16" s="782"/>
      <c r="PN16" s="782"/>
      <c r="PO16" s="782"/>
    </row>
    <row r="17" spans="1:431" s="143" customFormat="1">
      <c r="A17" s="782"/>
      <c r="B17" s="782"/>
      <c r="C17" s="785"/>
      <c r="D17" s="785"/>
      <c r="E17" s="785"/>
      <c r="F17" s="785"/>
      <c r="G17" s="785"/>
      <c r="H17" s="785"/>
      <c r="I17" s="785"/>
      <c r="J17" s="785"/>
      <c r="K17" s="785"/>
      <c r="L17" s="785"/>
      <c r="M17" s="782"/>
      <c r="N17" s="782"/>
      <c r="O17" s="782"/>
      <c r="P17" s="782"/>
      <c r="Q17" s="782"/>
      <c r="R17" s="782"/>
      <c r="S17" s="782"/>
      <c r="T17" s="782"/>
      <c r="U17" s="782"/>
      <c r="V17" s="782"/>
      <c r="W17" s="782"/>
      <c r="X17" s="782"/>
      <c r="Y17" s="782"/>
      <c r="Z17" s="782"/>
      <c r="AA17" s="782"/>
      <c r="AB17" s="782"/>
      <c r="AC17" s="782"/>
      <c r="AD17" s="782"/>
      <c r="AE17" s="782"/>
      <c r="AF17" s="782"/>
      <c r="AG17" s="782"/>
      <c r="AH17" s="782"/>
      <c r="AI17" s="782"/>
      <c r="AJ17" s="782"/>
      <c r="AK17" s="782"/>
      <c r="AL17" s="782"/>
      <c r="AM17" s="782"/>
      <c r="AN17" s="782"/>
      <c r="AO17" s="782"/>
      <c r="AP17" s="782"/>
      <c r="AQ17" s="782"/>
      <c r="AR17" s="782"/>
      <c r="AS17" s="782"/>
      <c r="AT17" s="782"/>
      <c r="AU17" s="782"/>
      <c r="AV17" s="782"/>
      <c r="AW17" s="782"/>
      <c r="AX17" s="782"/>
      <c r="AY17" s="782"/>
      <c r="AZ17" s="782"/>
      <c r="BA17" s="782"/>
      <c r="BB17" s="782"/>
      <c r="BC17" s="782"/>
      <c r="BD17" s="782"/>
      <c r="BE17" s="782"/>
      <c r="BF17" s="782"/>
      <c r="BG17" s="782"/>
      <c r="BH17" s="782"/>
      <c r="BI17" s="782"/>
      <c r="BJ17" s="782"/>
      <c r="BK17" s="782"/>
      <c r="BL17" s="782"/>
      <c r="BM17" s="782"/>
      <c r="BN17" s="782"/>
      <c r="BO17" s="782"/>
      <c r="BP17" s="782"/>
      <c r="BQ17" s="782"/>
      <c r="BR17" s="782"/>
      <c r="BS17" s="782"/>
      <c r="BT17" s="782"/>
      <c r="BU17" s="782"/>
      <c r="BV17" s="782"/>
      <c r="BW17" s="782"/>
      <c r="BX17" s="782"/>
      <c r="BY17" s="782"/>
      <c r="BZ17" s="782"/>
      <c r="CA17" s="782"/>
      <c r="CB17" s="782"/>
      <c r="CC17" s="782"/>
      <c r="CD17" s="782"/>
      <c r="CE17" s="782"/>
      <c r="CF17" s="782"/>
      <c r="CG17" s="782"/>
      <c r="CH17" s="782"/>
      <c r="CI17" s="782"/>
      <c r="CJ17" s="782"/>
      <c r="CK17" s="782"/>
      <c r="CL17" s="782"/>
      <c r="CM17" s="782"/>
      <c r="CN17" s="782"/>
      <c r="CO17" s="782"/>
      <c r="CP17" s="782"/>
      <c r="CQ17" s="782"/>
      <c r="CR17" s="782"/>
      <c r="CS17" s="782"/>
      <c r="CT17" s="782"/>
      <c r="CU17" s="782"/>
      <c r="CV17" s="782"/>
      <c r="CW17" s="782"/>
      <c r="CX17" s="782"/>
      <c r="CY17" s="782"/>
      <c r="CZ17" s="782"/>
      <c r="DA17" s="782"/>
      <c r="DB17" s="782"/>
      <c r="DC17" s="782"/>
      <c r="DD17" s="782"/>
      <c r="DE17" s="782"/>
      <c r="DF17" s="782"/>
      <c r="DG17" s="782"/>
      <c r="DH17" s="782"/>
      <c r="DI17" s="782"/>
      <c r="DJ17" s="782"/>
      <c r="DK17" s="782"/>
      <c r="DL17" s="782"/>
      <c r="DM17" s="782"/>
      <c r="DN17" s="782"/>
      <c r="DO17" s="782"/>
      <c r="DP17" s="782"/>
      <c r="DQ17" s="782"/>
      <c r="DR17" s="782"/>
      <c r="DS17" s="782"/>
      <c r="DT17" s="782"/>
      <c r="DU17" s="782"/>
      <c r="DV17" s="782"/>
      <c r="DW17" s="782"/>
      <c r="DX17" s="782"/>
      <c r="DY17" s="782"/>
      <c r="DZ17" s="782"/>
      <c r="EA17" s="782"/>
      <c r="EB17" s="782"/>
      <c r="EC17" s="782"/>
      <c r="ED17" s="782"/>
      <c r="EE17" s="782"/>
      <c r="EF17" s="782"/>
      <c r="EG17" s="782"/>
      <c r="EH17" s="782"/>
      <c r="EI17" s="782"/>
      <c r="EJ17" s="782"/>
      <c r="EK17" s="782"/>
      <c r="EL17" s="782"/>
      <c r="EM17" s="782"/>
      <c r="EN17" s="782"/>
      <c r="EO17" s="782"/>
      <c r="EP17" s="782"/>
      <c r="EQ17" s="782"/>
      <c r="ER17" s="782"/>
      <c r="ES17" s="782"/>
      <c r="ET17" s="782"/>
      <c r="EU17" s="782"/>
      <c r="EV17" s="782"/>
      <c r="EW17" s="782"/>
      <c r="EX17" s="782"/>
      <c r="EY17" s="782"/>
      <c r="EZ17" s="782"/>
      <c r="FA17" s="782"/>
      <c r="FB17" s="782"/>
      <c r="FC17" s="782"/>
      <c r="FD17" s="782"/>
      <c r="FE17" s="782"/>
      <c r="FF17" s="782"/>
      <c r="FG17" s="782"/>
      <c r="FH17" s="782"/>
      <c r="FI17" s="782"/>
      <c r="FJ17" s="782"/>
      <c r="FK17" s="782"/>
      <c r="FL17" s="782"/>
      <c r="FM17" s="782"/>
      <c r="FN17" s="782"/>
      <c r="FO17" s="782"/>
      <c r="FP17" s="782"/>
      <c r="FQ17" s="782"/>
      <c r="FR17" s="782"/>
      <c r="FS17" s="782"/>
      <c r="FT17" s="782"/>
      <c r="FU17" s="782"/>
      <c r="FV17" s="782"/>
      <c r="FW17" s="782"/>
      <c r="FX17" s="782"/>
      <c r="FY17" s="782"/>
      <c r="FZ17" s="782"/>
      <c r="GA17" s="782"/>
      <c r="GB17" s="782"/>
      <c r="GC17" s="782"/>
      <c r="GD17" s="782"/>
      <c r="GE17" s="782"/>
      <c r="GF17" s="782"/>
      <c r="GG17" s="782"/>
      <c r="GH17" s="782"/>
      <c r="GI17" s="782"/>
      <c r="GJ17" s="782"/>
      <c r="GK17" s="782"/>
      <c r="GL17" s="782"/>
      <c r="GM17" s="782"/>
      <c r="GN17" s="782"/>
      <c r="GO17" s="782"/>
      <c r="GP17" s="782"/>
      <c r="GQ17" s="782"/>
      <c r="GR17" s="782"/>
      <c r="GS17" s="782"/>
      <c r="GT17" s="782"/>
      <c r="GU17" s="782"/>
      <c r="GV17" s="782"/>
      <c r="GW17" s="782"/>
      <c r="GX17" s="782"/>
      <c r="GY17" s="782"/>
      <c r="GZ17" s="782"/>
      <c r="HA17" s="782"/>
      <c r="HB17" s="782"/>
      <c r="HC17" s="782"/>
      <c r="HD17" s="782"/>
      <c r="HE17" s="782"/>
      <c r="HF17" s="782"/>
      <c r="HG17" s="782"/>
      <c r="HH17" s="782"/>
      <c r="HI17" s="782"/>
      <c r="HJ17" s="782"/>
      <c r="HK17" s="782"/>
      <c r="HL17" s="782"/>
      <c r="HM17" s="782"/>
      <c r="HN17" s="782"/>
      <c r="HO17" s="782"/>
      <c r="HP17" s="782"/>
      <c r="HQ17" s="782"/>
      <c r="HR17" s="782"/>
      <c r="HS17" s="782"/>
      <c r="HT17" s="782"/>
      <c r="HU17" s="782"/>
      <c r="HV17" s="782"/>
      <c r="HW17" s="782"/>
      <c r="HX17" s="782"/>
      <c r="HY17" s="782"/>
      <c r="HZ17" s="782"/>
      <c r="IA17" s="782"/>
      <c r="IB17" s="782"/>
      <c r="IC17" s="782"/>
      <c r="ID17" s="782"/>
      <c r="IE17" s="782"/>
      <c r="IF17" s="782"/>
      <c r="IG17" s="782"/>
      <c r="IH17" s="782"/>
      <c r="II17" s="782"/>
      <c r="IJ17" s="782"/>
      <c r="IK17" s="782"/>
      <c r="IL17" s="782"/>
      <c r="IM17" s="782"/>
      <c r="IN17" s="782"/>
      <c r="IO17" s="782"/>
      <c r="IP17" s="782"/>
      <c r="IQ17" s="782"/>
      <c r="IR17" s="782"/>
      <c r="IS17" s="782"/>
      <c r="IT17" s="782"/>
      <c r="IU17" s="782"/>
      <c r="IV17" s="782"/>
      <c r="IW17" s="782"/>
      <c r="IX17" s="782"/>
      <c r="IY17" s="782"/>
      <c r="IZ17" s="782"/>
      <c r="JA17" s="782"/>
      <c r="JB17" s="782"/>
      <c r="JC17" s="782"/>
      <c r="JD17" s="782"/>
      <c r="JE17" s="782"/>
      <c r="JF17" s="782"/>
      <c r="JG17" s="782"/>
      <c r="JH17" s="782"/>
      <c r="JI17" s="782"/>
      <c r="JJ17" s="782"/>
      <c r="JK17" s="782"/>
      <c r="JL17" s="782"/>
      <c r="JM17" s="782"/>
      <c r="JN17" s="782"/>
      <c r="JO17" s="782"/>
      <c r="JP17" s="782"/>
      <c r="JQ17" s="782"/>
      <c r="JR17" s="782"/>
      <c r="JS17" s="782"/>
      <c r="JT17" s="782"/>
      <c r="JU17" s="782"/>
      <c r="JV17" s="782"/>
      <c r="JW17" s="782"/>
      <c r="JX17" s="782"/>
      <c r="JY17" s="782"/>
      <c r="JZ17" s="782"/>
      <c r="KA17" s="782"/>
      <c r="KB17" s="782"/>
      <c r="KC17" s="782"/>
      <c r="KD17" s="782"/>
      <c r="KE17" s="782"/>
      <c r="KF17" s="782"/>
      <c r="KG17" s="782"/>
      <c r="KH17" s="782"/>
      <c r="KI17" s="782"/>
      <c r="KJ17" s="782"/>
      <c r="KK17" s="782"/>
      <c r="KL17" s="782"/>
      <c r="KM17" s="782"/>
      <c r="KN17" s="782"/>
      <c r="KO17" s="782"/>
      <c r="KP17" s="782"/>
      <c r="KQ17" s="782"/>
      <c r="KR17" s="782"/>
      <c r="KS17" s="782"/>
      <c r="KT17" s="782"/>
      <c r="KU17" s="782"/>
      <c r="KV17" s="782"/>
      <c r="KW17" s="782"/>
      <c r="KX17" s="782"/>
      <c r="KY17" s="782"/>
      <c r="KZ17" s="782"/>
      <c r="LA17" s="782"/>
      <c r="LB17" s="782"/>
      <c r="LC17" s="782"/>
      <c r="LD17" s="782"/>
      <c r="LE17" s="782"/>
      <c r="LF17" s="782"/>
      <c r="LG17" s="782"/>
      <c r="LH17" s="782"/>
      <c r="LI17" s="782"/>
      <c r="LJ17" s="782"/>
      <c r="LK17" s="782"/>
      <c r="LL17" s="782"/>
      <c r="LM17" s="782"/>
      <c r="LN17" s="782"/>
      <c r="LO17" s="782"/>
      <c r="LP17" s="782"/>
      <c r="LQ17" s="782"/>
      <c r="LR17" s="782"/>
      <c r="LS17" s="782"/>
      <c r="LT17" s="782"/>
      <c r="LU17" s="782"/>
      <c r="LV17" s="782"/>
      <c r="LW17" s="782"/>
      <c r="LX17" s="782"/>
      <c r="LY17" s="782"/>
      <c r="LZ17" s="782"/>
      <c r="MA17" s="782"/>
      <c r="MB17" s="782"/>
      <c r="MC17" s="782"/>
      <c r="MD17" s="782"/>
      <c r="ME17" s="782"/>
      <c r="MF17" s="782"/>
      <c r="MG17" s="782"/>
      <c r="MH17" s="782"/>
      <c r="MI17" s="782"/>
      <c r="MJ17" s="782"/>
      <c r="MK17" s="782"/>
      <c r="ML17" s="782"/>
      <c r="MM17" s="782"/>
      <c r="MN17" s="782"/>
      <c r="MO17" s="782"/>
      <c r="MP17" s="782"/>
      <c r="MQ17" s="782"/>
      <c r="MR17" s="782"/>
      <c r="MS17" s="782"/>
      <c r="MT17" s="782"/>
      <c r="MU17" s="782"/>
      <c r="MV17" s="782"/>
      <c r="MW17" s="782"/>
      <c r="MX17" s="782"/>
      <c r="MY17" s="782"/>
      <c r="MZ17" s="782"/>
      <c r="NA17" s="782"/>
      <c r="NB17" s="782"/>
      <c r="NC17" s="782"/>
      <c r="ND17" s="782"/>
      <c r="NE17" s="782"/>
      <c r="NF17" s="782"/>
      <c r="NG17" s="782"/>
      <c r="NH17" s="782"/>
      <c r="NI17" s="782"/>
      <c r="NJ17" s="782"/>
      <c r="NK17" s="782"/>
      <c r="NL17" s="782"/>
      <c r="NM17" s="782"/>
      <c r="NN17" s="782"/>
      <c r="NO17" s="782"/>
      <c r="NP17" s="782"/>
      <c r="NQ17" s="782"/>
      <c r="NR17" s="782"/>
      <c r="NS17" s="782"/>
      <c r="NT17" s="782"/>
      <c r="NU17" s="782"/>
      <c r="NV17" s="782"/>
      <c r="NW17" s="782"/>
      <c r="NX17" s="782"/>
      <c r="NY17" s="782"/>
      <c r="NZ17" s="782"/>
      <c r="OA17" s="782"/>
      <c r="OB17" s="782"/>
      <c r="OC17" s="782"/>
      <c r="OD17" s="782"/>
      <c r="OE17" s="782"/>
      <c r="OF17" s="782"/>
      <c r="OG17" s="782"/>
      <c r="OH17" s="782"/>
      <c r="OI17" s="782"/>
      <c r="OJ17" s="782"/>
      <c r="OK17" s="782"/>
      <c r="OL17" s="782"/>
      <c r="OM17" s="782"/>
      <c r="ON17" s="782"/>
      <c r="OO17" s="782"/>
      <c r="OP17" s="782"/>
      <c r="OQ17" s="782"/>
      <c r="OR17" s="782"/>
      <c r="OS17" s="782"/>
      <c r="OT17" s="782"/>
      <c r="OU17" s="782"/>
      <c r="OV17" s="782"/>
      <c r="OW17" s="782"/>
      <c r="OX17" s="782"/>
      <c r="OY17" s="782"/>
      <c r="OZ17" s="782"/>
      <c r="PA17" s="782"/>
      <c r="PB17" s="782"/>
      <c r="PC17" s="782"/>
      <c r="PD17" s="782"/>
      <c r="PE17" s="782"/>
      <c r="PF17" s="782"/>
      <c r="PG17" s="782"/>
      <c r="PH17" s="782"/>
      <c r="PI17" s="782"/>
      <c r="PJ17" s="782"/>
      <c r="PK17" s="782"/>
      <c r="PL17" s="782"/>
      <c r="PM17" s="782"/>
      <c r="PN17" s="782"/>
      <c r="PO17" s="782"/>
    </row>
    <row r="18" spans="1:431" s="143" customFormat="1">
      <c r="A18" s="782"/>
      <c r="B18" s="782"/>
      <c r="C18" s="785"/>
      <c r="D18" s="785"/>
      <c r="E18" s="785"/>
      <c r="F18" s="785"/>
      <c r="G18" s="785"/>
      <c r="H18" s="785"/>
      <c r="I18" s="785"/>
      <c r="J18" s="785"/>
      <c r="K18" s="785"/>
      <c r="L18" s="785"/>
      <c r="M18" s="782"/>
      <c r="N18" s="782"/>
      <c r="O18" s="782"/>
      <c r="P18" s="782"/>
      <c r="Q18" s="782"/>
      <c r="R18" s="782"/>
      <c r="S18" s="782"/>
      <c r="T18" s="782"/>
      <c r="U18" s="782"/>
      <c r="V18" s="782"/>
      <c r="W18" s="782"/>
      <c r="X18" s="782"/>
      <c r="Y18" s="782"/>
      <c r="Z18" s="782"/>
      <c r="AA18" s="782"/>
      <c r="AB18" s="782"/>
      <c r="AC18" s="782"/>
      <c r="AD18" s="782"/>
      <c r="AE18" s="782"/>
      <c r="AF18" s="782"/>
      <c r="AG18" s="782"/>
      <c r="AH18" s="782"/>
      <c r="AI18" s="782"/>
      <c r="AJ18" s="782"/>
      <c r="AK18" s="782"/>
      <c r="AL18" s="782"/>
      <c r="AM18" s="782"/>
      <c r="AN18" s="782"/>
      <c r="AO18" s="782"/>
      <c r="AP18" s="782"/>
      <c r="AQ18" s="782"/>
      <c r="AR18" s="782"/>
      <c r="AS18" s="782"/>
      <c r="AT18" s="782"/>
      <c r="AU18" s="782"/>
      <c r="AV18" s="782"/>
      <c r="AW18" s="782"/>
      <c r="AX18" s="782"/>
      <c r="AY18" s="782"/>
      <c r="AZ18" s="782"/>
      <c r="BA18" s="782"/>
      <c r="BB18" s="782"/>
      <c r="BC18" s="782"/>
      <c r="BD18" s="782"/>
      <c r="BE18" s="782"/>
      <c r="BF18" s="782"/>
      <c r="BG18" s="782"/>
      <c r="BH18" s="782"/>
      <c r="BI18" s="782"/>
      <c r="BJ18" s="782"/>
      <c r="BK18" s="782"/>
      <c r="BL18" s="782"/>
      <c r="BM18" s="782"/>
      <c r="BN18" s="782"/>
      <c r="BO18" s="782"/>
      <c r="BP18" s="782"/>
      <c r="BQ18" s="782"/>
      <c r="BR18" s="782"/>
      <c r="BS18" s="782"/>
      <c r="BT18" s="782"/>
      <c r="BU18" s="782"/>
      <c r="BV18" s="782"/>
      <c r="BW18" s="782"/>
      <c r="BX18" s="782"/>
      <c r="BY18" s="782"/>
      <c r="BZ18" s="782"/>
      <c r="CA18" s="782"/>
      <c r="CB18" s="782"/>
      <c r="CC18" s="782"/>
      <c r="CD18" s="782"/>
      <c r="CE18" s="782"/>
      <c r="CF18" s="782"/>
      <c r="CG18" s="782"/>
      <c r="CH18" s="782"/>
      <c r="CI18" s="782"/>
      <c r="CJ18" s="782"/>
      <c r="CK18" s="782"/>
      <c r="CL18" s="782"/>
      <c r="CM18" s="782"/>
      <c r="CN18" s="782"/>
      <c r="CO18" s="782"/>
      <c r="CP18" s="782"/>
      <c r="CQ18" s="782"/>
      <c r="CR18" s="782"/>
      <c r="CS18" s="782"/>
      <c r="CT18" s="782"/>
      <c r="CU18" s="782"/>
      <c r="CV18" s="782"/>
      <c r="CW18" s="782"/>
      <c r="CX18" s="782"/>
      <c r="CY18" s="782"/>
      <c r="CZ18" s="782"/>
      <c r="DA18" s="782"/>
      <c r="DB18" s="782"/>
      <c r="DC18" s="782"/>
      <c r="DD18" s="782"/>
      <c r="DE18" s="782"/>
      <c r="DF18" s="782"/>
      <c r="DG18" s="782"/>
      <c r="DH18" s="782"/>
      <c r="DI18" s="782"/>
      <c r="DJ18" s="782"/>
      <c r="DK18" s="782"/>
      <c r="DL18" s="782"/>
      <c r="DM18" s="782"/>
      <c r="DN18" s="782"/>
      <c r="DO18" s="782"/>
      <c r="DP18" s="782"/>
      <c r="DQ18" s="782"/>
      <c r="DR18" s="782"/>
      <c r="DS18" s="782"/>
      <c r="DT18" s="782"/>
      <c r="DU18" s="782"/>
      <c r="DV18" s="782"/>
      <c r="DW18" s="782"/>
      <c r="DX18" s="782"/>
      <c r="DY18" s="782"/>
      <c r="DZ18" s="782"/>
      <c r="EA18" s="782"/>
      <c r="EB18" s="782"/>
      <c r="EC18" s="782"/>
      <c r="ED18" s="782"/>
      <c r="EE18" s="782"/>
      <c r="EF18" s="782"/>
      <c r="EG18" s="782"/>
      <c r="EH18" s="782"/>
      <c r="EI18" s="782"/>
      <c r="EJ18" s="782"/>
      <c r="EK18" s="782"/>
      <c r="EL18" s="782"/>
      <c r="EM18" s="782"/>
      <c r="EN18" s="782"/>
      <c r="EO18" s="782"/>
      <c r="EP18" s="782"/>
      <c r="EQ18" s="782"/>
      <c r="ER18" s="782"/>
      <c r="ES18" s="782"/>
      <c r="ET18" s="782"/>
      <c r="EU18" s="782"/>
      <c r="EV18" s="782"/>
      <c r="EW18" s="782"/>
      <c r="EX18" s="782"/>
      <c r="EY18" s="782"/>
      <c r="EZ18" s="782"/>
      <c r="FA18" s="782"/>
      <c r="FB18" s="782"/>
      <c r="FC18" s="782"/>
      <c r="FD18" s="782"/>
      <c r="FE18" s="782"/>
      <c r="FF18" s="782"/>
      <c r="FG18" s="782"/>
      <c r="FH18" s="782"/>
      <c r="FI18" s="782"/>
      <c r="FJ18" s="782"/>
      <c r="FK18" s="782"/>
      <c r="FL18" s="782"/>
      <c r="FM18" s="782"/>
      <c r="FN18" s="782"/>
      <c r="FO18" s="782"/>
      <c r="FP18" s="782"/>
      <c r="FQ18" s="782"/>
      <c r="FR18" s="782"/>
      <c r="FS18" s="782"/>
      <c r="FT18" s="782"/>
      <c r="FU18" s="782"/>
      <c r="FV18" s="782"/>
      <c r="FW18" s="782"/>
      <c r="FX18" s="782"/>
      <c r="FY18" s="782"/>
      <c r="FZ18" s="782"/>
      <c r="GA18" s="782"/>
      <c r="GB18" s="782"/>
      <c r="GC18" s="782"/>
      <c r="GD18" s="782"/>
      <c r="GE18" s="782"/>
      <c r="GF18" s="782"/>
      <c r="GG18" s="782"/>
      <c r="GH18" s="782"/>
      <c r="GI18" s="782"/>
      <c r="GJ18" s="782"/>
      <c r="GK18" s="782"/>
      <c r="GL18" s="782"/>
      <c r="GM18" s="782"/>
      <c r="GN18" s="782"/>
      <c r="GO18" s="782"/>
      <c r="GP18" s="782"/>
      <c r="GQ18" s="782"/>
      <c r="GR18" s="782"/>
      <c r="GS18" s="782"/>
      <c r="GT18" s="782"/>
      <c r="GU18" s="782"/>
      <c r="GV18" s="782"/>
      <c r="GW18" s="782"/>
      <c r="GX18" s="782"/>
      <c r="GY18" s="782"/>
      <c r="GZ18" s="782"/>
      <c r="HA18" s="782"/>
      <c r="HB18" s="782"/>
      <c r="HC18" s="782"/>
      <c r="HD18" s="782"/>
      <c r="HE18" s="782"/>
      <c r="HF18" s="782"/>
      <c r="HG18" s="782"/>
      <c r="HH18" s="782"/>
      <c r="HI18" s="782"/>
      <c r="HJ18" s="782"/>
      <c r="HK18" s="782"/>
      <c r="HL18" s="782"/>
      <c r="HM18" s="782"/>
      <c r="HN18" s="782"/>
      <c r="HO18" s="782"/>
      <c r="HP18" s="782"/>
      <c r="HQ18" s="782"/>
      <c r="HR18" s="782"/>
      <c r="HS18" s="782"/>
      <c r="HT18" s="782"/>
      <c r="HU18" s="782"/>
      <c r="HV18" s="782"/>
      <c r="HW18" s="782"/>
      <c r="HX18" s="782"/>
      <c r="HY18" s="782"/>
      <c r="HZ18" s="782"/>
      <c r="IA18" s="782"/>
      <c r="IB18" s="782"/>
      <c r="IC18" s="782"/>
      <c r="ID18" s="782"/>
      <c r="IE18" s="782"/>
      <c r="IF18" s="782"/>
      <c r="IG18" s="782"/>
      <c r="IH18" s="782"/>
      <c r="II18" s="782"/>
      <c r="IJ18" s="782"/>
      <c r="IK18" s="782"/>
      <c r="IL18" s="782"/>
      <c r="IM18" s="782"/>
      <c r="IN18" s="782"/>
      <c r="IO18" s="782"/>
      <c r="IP18" s="782"/>
      <c r="IQ18" s="782"/>
      <c r="IR18" s="782"/>
      <c r="IS18" s="782"/>
      <c r="IT18" s="782"/>
      <c r="IU18" s="782"/>
      <c r="IV18" s="782"/>
      <c r="IW18" s="782"/>
      <c r="IX18" s="782"/>
      <c r="IY18" s="782"/>
      <c r="IZ18" s="782"/>
      <c r="JA18" s="782"/>
      <c r="JB18" s="782"/>
      <c r="JC18" s="782"/>
      <c r="JD18" s="782"/>
      <c r="JE18" s="782"/>
      <c r="JF18" s="782"/>
      <c r="JG18" s="782"/>
      <c r="JH18" s="782"/>
      <c r="JI18" s="782"/>
      <c r="JJ18" s="782"/>
      <c r="JK18" s="782"/>
      <c r="JL18" s="782"/>
      <c r="JM18" s="782"/>
      <c r="JN18" s="782"/>
      <c r="JO18" s="782"/>
      <c r="JP18" s="782"/>
      <c r="JQ18" s="782"/>
      <c r="JR18" s="782"/>
      <c r="JS18" s="782"/>
      <c r="JT18" s="782"/>
      <c r="JU18" s="782"/>
      <c r="JV18" s="782"/>
      <c r="JW18" s="782"/>
      <c r="JX18" s="782"/>
      <c r="JY18" s="782"/>
      <c r="JZ18" s="782"/>
      <c r="KA18" s="782"/>
      <c r="KB18" s="782"/>
      <c r="KC18" s="782"/>
      <c r="KD18" s="782"/>
      <c r="KE18" s="782"/>
      <c r="KF18" s="782"/>
      <c r="KG18" s="782"/>
      <c r="KH18" s="782"/>
      <c r="KI18" s="782"/>
      <c r="KJ18" s="782"/>
      <c r="KK18" s="782"/>
      <c r="KL18" s="782"/>
      <c r="KM18" s="782"/>
      <c r="KN18" s="782"/>
      <c r="KO18" s="782"/>
      <c r="KP18" s="782"/>
      <c r="KQ18" s="782"/>
      <c r="KR18" s="782"/>
      <c r="KS18" s="782"/>
      <c r="KT18" s="782"/>
      <c r="KU18" s="782"/>
      <c r="KV18" s="782"/>
      <c r="KW18" s="782"/>
      <c r="KX18" s="782"/>
      <c r="KY18" s="782"/>
      <c r="KZ18" s="782"/>
      <c r="LA18" s="782"/>
      <c r="LB18" s="782"/>
      <c r="LC18" s="782"/>
      <c r="LD18" s="782"/>
      <c r="LE18" s="782"/>
      <c r="LF18" s="782"/>
      <c r="LG18" s="782"/>
      <c r="LH18" s="782"/>
      <c r="LI18" s="782"/>
      <c r="LJ18" s="782"/>
      <c r="LK18" s="782"/>
      <c r="LL18" s="782"/>
      <c r="LM18" s="782"/>
      <c r="LN18" s="782"/>
      <c r="LO18" s="782"/>
      <c r="LP18" s="782"/>
      <c r="LQ18" s="782"/>
      <c r="LR18" s="782"/>
      <c r="LS18" s="782"/>
      <c r="LT18" s="782"/>
      <c r="LU18" s="782"/>
      <c r="LV18" s="782"/>
      <c r="LW18" s="782"/>
      <c r="LX18" s="782"/>
      <c r="LY18" s="782"/>
      <c r="LZ18" s="782"/>
      <c r="MA18" s="782"/>
      <c r="MB18" s="782"/>
      <c r="MC18" s="782"/>
      <c r="MD18" s="782"/>
      <c r="ME18" s="782"/>
      <c r="MF18" s="782"/>
      <c r="MG18" s="782"/>
      <c r="MH18" s="782"/>
      <c r="MI18" s="782"/>
      <c r="MJ18" s="782"/>
      <c r="MK18" s="782"/>
      <c r="ML18" s="782"/>
      <c r="MM18" s="782"/>
      <c r="MN18" s="782"/>
      <c r="MO18" s="782"/>
      <c r="MP18" s="782"/>
      <c r="MQ18" s="782"/>
      <c r="MR18" s="782"/>
      <c r="MS18" s="782"/>
      <c r="MT18" s="782"/>
      <c r="MU18" s="782"/>
      <c r="MV18" s="782"/>
      <c r="MW18" s="782"/>
      <c r="MX18" s="782"/>
      <c r="MY18" s="782"/>
      <c r="MZ18" s="782"/>
      <c r="NA18" s="782"/>
      <c r="NB18" s="782"/>
      <c r="NC18" s="782"/>
      <c r="ND18" s="782"/>
      <c r="NE18" s="782"/>
      <c r="NF18" s="782"/>
      <c r="NG18" s="782"/>
      <c r="NH18" s="782"/>
      <c r="NI18" s="782"/>
      <c r="NJ18" s="782"/>
      <c r="NK18" s="782"/>
      <c r="NL18" s="782"/>
      <c r="NM18" s="782"/>
      <c r="NN18" s="782"/>
      <c r="NO18" s="782"/>
      <c r="NP18" s="782"/>
      <c r="NQ18" s="782"/>
      <c r="NR18" s="782"/>
      <c r="NS18" s="782"/>
      <c r="NT18" s="782"/>
      <c r="NU18" s="782"/>
      <c r="NV18" s="782"/>
      <c r="NW18" s="782"/>
      <c r="NX18" s="782"/>
      <c r="NY18" s="782"/>
      <c r="NZ18" s="782"/>
      <c r="OA18" s="782"/>
      <c r="OB18" s="782"/>
      <c r="OC18" s="782"/>
      <c r="OD18" s="782"/>
      <c r="OE18" s="782"/>
      <c r="OF18" s="782"/>
      <c r="OG18" s="782"/>
      <c r="OH18" s="782"/>
      <c r="OI18" s="782"/>
      <c r="OJ18" s="782"/>
      <c r="OK18" s="782"/>
      <c r="OL18" s="782"/>
      <c r="OM18" s="782"/>
      <c r="ON18" s="782"/>
      <c r="OO18" s="782"/>
      <c r="OP18" s="782"/>
      <c r="OQ18" s="782"/>
      <c r="OR18" s="782"/>
      <c r="OS18" s="782"/>
      <c r="OT18" s="782"/>
      <c r="OU18" s="782"/>
      <c r="OV18" s="782"/>
      <c r="OW18" s="782"/>
      <c r="OX18" s="782"/>
      <c r="OY18" s="782"/>
      <c r="OZ18" s="782"/>
      <c r="PA18" s="782"/>
      <c r="PB18" s="782"/>
      <c r="PC18" s="782"/>
      <c r="PD18" s="782"/>
      <c r="PE18" s="782"/>
      <c r="PF18" s="782"/>
      <c r="PG18" s="782"/>
      <c r="PH18" s="782"/>
      <c r="PI18" s="782"/>
      <c r="PJ18" s="782"/>
      <c r="PK18" s="782"/>
      <c r="PL18" s="782"/>
      <c r="PM18" s="782"/>
      <c r="PN18" s="782"/>
      <c r="PO18" s="782"/>
    </row>
    <row r="19" spans="1:431" s="143" customFormat="1">
      <c r="A19" s="782"/>
      <c r="B19" s="782"/>
      <c r="C19" s="785"/>
      <c r="D19" s="785"/>
      <c r="E19" s="785"/>
      <c r="F19" s="785"/>
      <c r="G19" s="785"/>
      <c r="H19" s="785"/>
      <c r="I19" s="785"/>
      <c r="J19" s="785"/>
      <c r="K19" s="785"/>
      <c r="L19" s="785"/>
      <c r="M19" s="782"/>
      <c r="N19" s="782"/>
      <c r="O19" s="782"/>
      <c r="P19" s="782"/>
      <c r="Q19" s="782"/>
      <c r="R19" s="782"/>
      <c r="S19" s="782"/>
      <c r="T19" s="782"/>
      <c r="U19" s="782"/>
      <c r="V19" s="782"/>
      <c r="W19" s="782"/>
      <c r="X19" s="782"/>
      <c r="Y19" s="782"/>
      <c r="Z19" s="782"/>
      <c r="AA19" s="782"/>
      <c r="AB19" s="782"/>
      <c r="AC19" s="782"/>
      <c r="AD19" s="782"/>
      <c r="AE19" s="782"/>
      <c r="AF19" s="782"/>
      <c r="AG19" s="782"/>
      <c r="AH19" s="782"/>
      <c r="AI19" s="782"/>
      <c r="AJ19" s="782"/>
      <c r="AK19" s="782"/>
      <c r="AL19" s="782"/>
      <c r="AM19" s="782"/>
      <c r="AN19" s="782"/>
      <c r="AO19" s="782"/>
      <c r="AP19" s="782"/>
      <c r="AQ19" s="782"/>
      <c r="AR19" s="782"/>
      <c r="AS19" s="782"/>
      <c r="AT19" s="782"/>
      <c r="AU19" s="782"/>
      <c r="AV19" s="782"/>
      <c r="AW19" s="782"/>
      <c r="AX19" s="782"/>
      <c r="AY19" s="782"/>
      <c r="AZ19" s="782"/>
      <c r="BA19" s="782"/>
      <c r="BB19" s="782"/>
      <c r="BC19" s="782"/>
      <c r="BD19" s="782"/>
      <c r="BE19" s="782"/>
      <c r="BF19" s="782"/>
      <c r="BG19" s="782"/>
      <c r="BH19" s="782"/>
      <c r="BI19" s="782"/>
      <c r="BJ19" s="782"/>
      <c r="BK19" s="782"/>
      <c r="BL19" s="782"/>
      <c r="BM19" s="782"/>
      <c r="BN19" s="782"/>
      <c r="BO19" s="782"/>
      <c r="BP19" s="782"/>
      <c r="BQ19" s="782"/>
      <c r="BR19" s="782"/>
      <c r="BS19" s="782"/>
      <c r="BT19" s="782"/>
      <c r="BU19" s="782"/>
      <c r="BV19" s="782"/>
      <c r="BW19" s="782"/>
      <c r="BX19" s="782"/>
      <c r="BY19" s="782"/>
      <c r="BZ19" s="782"/>
      <c r="CA19" s="782"/>
      <c r="CB19" s="782"/>
      <c r="CC19" s="782"/>
      <c r="CD19" s="782"/>
      <c r="CE19" s="782"/>
      <c r="CF19" s="782"/>
      <c r="CG19" s="782"/>
      <c r="CH19" s="782"/>
      <c r="CI19" s="782"/>
      <c r="CJ19" s="782"/>
      <c r="CK19" s="782"/>
      <c r="CL19" s="782"/>
      <c r="CM19" s="782"/>
      <c r="CN19" s="782"/>
      <c r="CO19" s="782"/>
      <c r="CP19" s="782"/>
      <c r="CQ19" s="782"/>
      <c r="CR19" s="782"/>
      <c r="CS19" s="782"/>
      <c r="CT19" s="782"/>
      <c r="CU19" s="782"/>
      <c r="CV19" s="782"/>
      <c r="CW19" s="782"/>
      <c r="CX19" s="782"/>
      <c r="CY19" s="782"/>
      <c r="CZ19" s="782"/>
      <c r="DA19" s="782"/>
      <c r="DB19" s="782"/>
      <c r="DC19" s="782"/>
      <c r="DD19" s="782"/>
      <c r="DE19" s="782"/>
      <c r="DF19" s="782"/>
      <c r="DG19" s="782"/>
      <c r="DH19" s="782"/>
      <c r="DI19" s="782"/>
      <c r="DJ19" s="782"/>
      <c r="DK19" s="782"/>
      <c r="DL19" s="782"/>
      <c r="DM19" s="782"/>
      <c r="DN19" s="782"/>
      <c r="DO19" s="782"/>
      <c r="DP19" s="782"/>
      <c r="DQ19" s="782"/>
      <c r="DR19" s="782"/>
      <c r="DS19" s="782"/>
      <c r="DT19" s="782"/>
      <c r="DU19" s="782"/>
      <c r="DV19" s="782"/>
      <c r="DW19" s="782"/>
      <c r="DX19" s="782"/>
      <c r="DY19" s="782"/>
      <c r="DZ19" s="782"/>
      <c r="EA19" s="782"/>
      <c r="EB19" s="782"/>
      <c r="EC19" s="782"/>
      <c r="ED19" s="782"/>
      <c r="EE19" s="782"/>
      <c r="EF19" s="782"/>
      <c r="EG19" s="782"/>
      <c r="EH19" s="782"/>
      <c r="EI19" s="782"/>
      <c r="EJ19" s="782"/>
      <c r="EK19" s="782"/>
      <c r="EL19" s="782"/>
      <c r="EM19" s="782"/>
      <c r="EN19" s="782"/>
      <c r="EO19" s="782"/>
      <c r="EP19" s="782"/>
      <c r="EQ19" s="782"/>
      <c r="ER19" s="782"/>
      <c r="ES19" s="782"/>
      <c r="ET19" s="782"/>
      <c r="EU19" s="782"/>
      <c r="EV19" s="782"/>
      <c r="EW19" s="782"/>
      <c r="EX19" s="782"/>
      <c r="EY19" s="782"/>
      <c r="EZ19" s="782"/>
      <c r="FA19" s="782"/>
      <c r="FB19" s="782"/>
      <c r="FC19" s="782"/>
      <c r="FD19" s="782"/>
      <c r="FE19" s="782"/>
      <c r="FF19" s="782"/>
      <c r="FG19" s="782"/>
      <c r="FH19" s="782"/>
      <c r="FI19" s="782"/>
      <c r="FJ19" s="782"/>
      <c r="FK19" s="782"/>
      <c r="FL19" s="782"/>
      <c r="FM19" s="782"/>
      <c r="FN19" s="782"/>
      <c r="FO19" s="782"/>
      <c r="FP19" s="782"/>
      <c r="FQ19" s="782"/>
      <c r="FR19" s="782"/>
      <c r="FS19" s="782"/>
      <c r="FT19" s="782"/>
      <c r="FU19" s="782"/>
      <c r="FV19" s="782"/>
      <c r="FW19" s="782"/>
      <c r="FX19" s="782"/>
      <c r="FY19" s="782"/>
      <c r="FZ19" s="782"/>
      <c r="GA19" s="782"/>
      <c r="GB19" s="782"/>
      <c r="GC19" s="782"/>
      <c r="GD19" s="782"/>
      <c r="GE19" s="782"/>
      <c r="GF19" s="782"/>
      <c r="GG19" s="782"/>
      <c r="GH19" s="782"/>
      <c r="GI19" s="782"/>
      <c r="GJ19" s="782"/>
      <c r="GK19" s="782"/>
      <c r="GL19" s="782"/>
      <c r="GM19" s="782"/>
      <c r="GN19" s="782"/>
      <c r="GO19" s="782"/>
      <c r="GP19" s="782"/>
      <c r="GQ19" s="782"/>
      <c r="GR19" s="782"/>
      <c r="GS19" s="782"/>
      <c r="GT19" s="782"/>
      <c r="GU19" s="782"/>
      <c r="GV19" s="782"/>
      <c r="GW19" s="782"/>
      <c r="GX19" s="782"/>
      <c r="GY19" s="782"/>
      <c r="GZ19" s="782"/>
      <c r="HA19" s="782"/>
      <c r="HB19" s="782"/>
      <c r="HC19" s="782"/>
      <c r="HD19" s="782"/>
      <c r="HE19" s="782"/>
      <c r="HF19" s="782"/>
      <c r="HG19" s="782"/>
      <c r="HH19" s="782"/>
      <c r="HI19" s="782"/>
      <c r="HJ19" s="782"/>
      <c r="HK19" s="782"/>
      <c r="HL19" s="782"/>
      <c r="HM19" s="782"/>
      <c r="HN19" s="782"/>
      <c r="HO19" s="782"/>
      <c r="HP19" s="782"/>
      <c r="HQ19" s="782"/>
      <c r="HR19" s="782"/>
      <c r="HS19" s="782"/>
      <c r="HT19" s="782"/>
      <c r="HU19" s="782"/>
      <c r="HV19" s="782"/>
      <c r="HW19" s="782"/>
      <c r="HX19" s="782"/>
      <c r="HY19" s="782"/>
      <c r="HZ19" s="782"/>
      <c r="IA19" s="782"/>
      <c r="IB19" s="782"/>
      <c r="IC19" s="782"/>
      <c r="ID19" s="782"/>
      <c r="IE19" s="782"/>
      <c r="IF19" s="782"/>
      <c r="IG19" s="782"/>
      <c r="IH19" s="782"/>
      <c r="II19" s="782"/>
      <c r="IJ19" s="782"/>
      <c r="IK19" s="782"/>
      <c r="IL19" s="782"/>
      <c r="IM19" s="782"/>
      <c r="IN19" s="782"/>
      <c r="IO19" s="782"/>
      <c r="IP19" s="782"/>
      <c r="IQ19" s="782"/>
      <c r="IR19" s="782"/>
      <c r="IS19" s="782"/>
      <c r="IT19" s="782"/>
      <c r="IU19" s="782"/>
      <c r="IV19" s="782"/>
      <c r="IW19" s="782"/>
      <c r="IX19" s="782"/>
      <c r="IY19" s="782"/>
      <c r="IZ19" s="782"/>
      <c r="JA19" s="782"/>
      <c r="JB19" s="782"/>
      <c r="JC19" s="782"/>
      <c r="JD19" s="782"/>
      <c r="JE19" s="782"/>
      <c r="JF19" s="782"/>
      <c r="JG19" s="782"/>
      <c r="JH19" s="782"/>
      <c r="JI19" s="782"/>
      <c r="JJ19" s="782"/>
      <c r="JK19" s="782"/>
      <c r="JL19" s="782"/>
      <c r="JM19" s="782"/>
      <c r="JN19" s="782"/>
      <c r="JO19" s="782"/>
      <c r="JP19" s="782"/>
      <c r="JQ19" s="782"/>
      <c r="JR19" s="782"/>
      <c r="JS19" s="782"/>
      <c r="JT19" s="782"/>
      <c r="JU19" s="782"/>
      <c r="JV19" s="782"/>
      <c r="JW19" s="782"/>
      <c r="JX19" s="782"/>
      <c r="JY19" s="782"/>
      <c r="JZ19" s="782"/>
      <c r="KA19" s="782"/>
      <c r="KB19" s="782"/>
      <c r="KC19" s="782"/>
      <c r="KD19" s="782"/>
      <c r="KE19" s="782"/>
      <c r="KF19" s="782"/>
      <c r="KG19" s="782"/>
      <c r="KH19" s="782"/>
      <c r="KI19" s="782"/>
      <c r="KJ19" s="782"/>
      <c r="KK19" s="782"/>
      <c r="KL19" s="782"/>
      <c r="KM19" s="782"/>
      <c r="KN19" s="782"/>
      <c r="KO19" s="782"/>
      <c r="KP19" s="782"/>
      <c r="KQ19" s="782"/>
      <c r="KR19" s="782"/>
      <c r="KS19" s="782"/>
      <c r="KT19" s="782"/>
      <c r="KU19" s="782"/>
      <c r="KV19" s="782"/>
      <c r="KW19" s="782"/>
      <c r="KX19" s="782"/>
      <c r="KY19" s="782"/>
      <c r="KZ19" s="782"/>
      <c r="LA19" s="782"/>
      <c r="LB19" s="782"/>
      <c r="LC19" s="782"/>
      <c r="LD19" s="782"/>
      <c r="LE19" s="782"/>
      <c r="LF19" s="782"/>
      <c r="LG19" s="782"/>
      <c r="LH19" s="782"/>
      <c r="LI19" s="782"/>
      <c r="LJ19" s="782"/>
      <c r="LK19" s="782"/>
      <c r="LL19" s="782"/>
      <c r="LM19" s="782"/>
      <c r="LN19" s="782"/>
      <c r="LO19" s="782"/>
      <c r="LP19" s="782"/>
      <c r="LQ19" s="782"/>
      <c r="LR19" s="782"/>
      <c r="LS19" s="782"/>
      <c r="LT19" s="782"/>
      <c r="LU19" s="782"/>
      <c r="LV19" s="782"/>
      <c r="LW19" s="782"/>
      <c r="LX19" s="782"/>
      <c r="LY19" s="782"/>
      <c r="LZ19" s="782"/>
      <c r="MA19" s="782"/>
      <c r="MB19" s="782"/>
      <c r="MC19" s="782"/>
      <c r="MD19" s="782"/>
      <c r="ME19" s="782"/>
      <c r="MF19" s="782"/>
      <c r="MG19" s="782"/>
      <c r="MH19" s="782"/>
      <c r="MI19" s="782"/>
      <c r="MJ19" s="782"/>
      <c r="MK19" s="782"/>
      <c r="ML19" s="782"/>
      <c r="MM19" s="782"/>
      <c r="MN19" s="782"/>
      <c r="MO19" s="782"/>
      <c r="MP19" s="782"/>
      <c r="MQ19" s="782"/>
      <c r="MR19" s="782"/>
      <c r="MS19" s="782"/>
      <c r="MT19" s="782"/>
      <c r="MU19" s="782"/>
      <c r="MV19" s="782"/>
      <c r="MW19" s="782"/>
      <c r="MX19" s="782"/>
      <c r="MY19" s="782"/>
      <c r="MZ19" s="782"/>
      <c r="NA19" s="782"/>
      <c r="NB19" s="782"/>
      <c r="NC19" s="782"/>
      <c r="ND19" s="782"/>
      <c r="NE19" s="782"/>
      <c r="NF19" s="782"/>
      <c r="NG19" s="782"/>
      <c r="NH19" s="782"/>
      <c r="NI19" s="782"/>
      <c r="NJ19" s="782"/>
      <c r="NK19" s="782"/>
      <c r="NL19" s="782"/>
      <c r="NM19" s="782"/>
      <c r="NN19" s="782"/>
      <c r="NO19" s="782"/>
      <c r="NP19" s="782"/>
      <c r="NQ19" s="782"/>
      <c r="NR19" s="782"/>
      <c r="NS19" s="782"/>
      <c r="NT19" s="782"/>
      <c r="NU19" s="782"/>
      <c r="NV19" s="782"/>
      <c r="NW19" s="782"/>
      <c r="NX19" s="782"/>
      <c r="NY19" s="782"/>
      <c r="NZ19" s="782"/>
      <c r="OA19" s="782"/>
      <c r="OB19" s="782"/>
      <c r="OC19" s="782"/>
      <c r="OD19" s="782"/>
      <c r="OE19" s="782"/>
      <c r="OF19" s="782"/>
      <c r="OG19" s="782"/>
      <c r="OH19" s="782"/>
      <c r="OI19" s="782"/>
      <c r="OJ19" s="782"/>
      <c r="OK19" s="782"/>
      <c r="OL19" s="782"/>
      <c r="OM19" s="782"/>
      <c r="ON19" s="782"/>
      <c r="OO19" s="782"/>
      <c r="OP19" s="782"/>
      <c r="OQ19" s="782"/>
      <c r="OR19" s="782"/>
      <c r="OS19" s="782"/>
      <c r="OT19" s="782"/>
      <c r="OU19" s="782"/>
      <c r="OV19" s="782"/>
      <c r="OW19" s="782"/>
      <c r="OX19" s="782"/>
      <c r="OY19" s="782"/>
      <c r="OZ19" s="782"/>
      <c r="PA19" s="782"/>
      <c r="PB19" s="782"/>
      <c r="PC19" s="782"/>
      <c r="PD19" s="782"/>
      <c r="PE19" s="782"/>
      <c r="PF19" s="782"/>
      <c r="PG19" s="782"/>
      <c r="PH19" s="782"/>
      <c r="PI19" s="782"/>
      <c r="PJ19" s="782"/>
      <c r="PK19" s="782"/>
      <c r="PL19" s="782"/>
      <c r="PM19" s="782"/>
      <c r="PN19" s="782"/>
      <c r="PO19" s="782"/>
    </row>
    <row r="20" spans="1:431" s="143" customFormat="1">
      <c r="A20" s="782"/>
      <c r="B20" s="782"/>
      <c r="C20" s="785"/>
      <c r="D20" s="785"/>
      <c r="E20" s="785"/>
      <c r="F20" s="785"/>
      <c r="G20" s="785"/>
      <c r="H20" s="785"/>
      <c r="I20" s="785"/>
      <c r="J20" s="785"/>
      <c r="K20" s="785"/>
      <c r="L20" s="785"/>
      <c r="M20" s="782"/>
      <c r="N20" s="782"/>
      <c r="O20" s="782"/>
      <c r="P20" s="782"/>
      <c r="Q20" s="782"/>
      <c r="R20" s="782"/>
      <c r="S20" s="782"/>
      <c r="T20" s="782"/>
      <c r="U20" s="782"/>
      <c r="V20" s="782"/>
      <c r="W20" s="782"/>
      <c r="X20" s="782"/>
      <c r="Y20" s="782"/>
      <c r="Z20" s="782"/>
      <c r="AA20" s="782"/>
      <c r="AB20" s="782"/>
      <c r="AC20" s="782"/>
      <c r="AD20" s="782"/>
      <c r="AE20" s="782"/>
      <c r="AF20" s="782"/>
      <c r="AG20" s="782"/>
      <c r="AH20" s="782"/>
      <c r="AI20" s="782"/>
      <c r="AJ20" s="782"/>
      <c r="AK20" s="782"/>
      <c r="AL20" s="782"/>
      <c r="AM20" s="782"/>
      <c r="AN20" s="782"/>
      <c r="AO20" s="782"/>
      <c r="AP20" s="782"/>
      <c r="AQ20" s="782"/>
      <c r="AR20" s="782"/>
      <c r="AS20" s="782"/>
      <c r="AT20" s="782"/>
      <c r="AU20" s="782"/>
      <c r="AV20" s="782"/>
      <c r="AW20" s="782"/>
      <c r="AX20" s="782"/>
      <c r="AY20" s="782"/>
      <c r="AZ20" s="782"/>
      <c r="BA20" s="782"/>
      <c r="BB20" s="782"/>
      <c r="BC20" s="782"/>
      <c r="BD20" s="782"/>
      <c r="BE20" s="782"/>
      <c r="BF20" s="782"/>
      <c r="BG20" s="782"/>
      <c r="BH20" s="782"/>
      <c r="BI20" s="782"/>
      <c r="BJ20" s="782"/>
      <c r="BK20" s="782"/>
      <c r="BL20" s="782"/>
      <c r="BM20" s="782"/>
      <c r="BN20" s="782"/>
      <c r="BO20" s="782"/>
      <c r="BP20" s="782"/>
      <c r="BQ20" s="782"/>
      <c r="BR20" s="782"/>
      <c r="BS20" s="782"/>
      <c r="BT20" s="782"/>
      <c r="BU20" s="782"/>
      <c r="BV20" s="782"/>
      <c r="BW20" s="782"/>
      <c r="BX20" s="782"/>
      <c r="BY20" s="782"/>
      <c r="BZ20" s="782"/>
      <c r="CA20" s="782"/>
      <c r="CB20" s="782"/>
      <c r="CC20" s="782"/>
      <c r="CD20" s="782"/>
      <c r="CE20" s="782"/>
      <c r="CF20" s="782"/>
      <c r="CG20" s="782"/>
      <c r="CH20" s="782"/>
      <c r="CI20" s="782"/>
      <c r="CJ20" s="782"/>
      <c r="CK20" s="782"/>
      <c r="CL20" s="782"/>
      <c r="CM20" s="782"/>
      <c r="CN20" s="782"/>
      <c r="CO20" s="782"/>
      <c r="CP20" s="782"/>
      <c r="CQ20" s="782"/>
      <c r="CR20" s="782"/>
      <c r="CS20" s="782"/>
      <c r="CT20" s="782"/>
      <c r="CU20" s="782"/>
      <c r="CV20" s="782"/>
      <c r="CW20" s="782"/>
      <c r="CX20" s="782"/>
      <c r="CY20" s="782"/>
      <c r="CZ20" s="782"/>
      <c r="DA20" s="782"/>
      <c r="DB20" s="782"/>
      <c r="DC20" s="782"/>
      <c r="DD20" s="782"/>
      <c r="DE20" s="782"/>
      <c r="DF20" s="782"/>
      <c r="DG20" s="782"/>
      <c r="DH20" s="782"/>
      <c r="DI20" s="782"/>
      <c r="DJ20" s="782"/>
      <c r="DK20" s="782"/>
      <c r="DL20" s="782"/>
      <c r="DM20" s="782"/>
      <c r="DN20" s="782"/>
      <c r="DO20" s="782"/>
      <c r="DP20" s="782"/>
      <c r="DQ20" s="782"/>
      <c r="DR20" s="782"/>
      <c r="DS20" s="782"/>
      <c r="DT20" s="782"/>
      <c r="DU20" s="782"/>
      <c r="DV20" s="782"/>
      <c r="DW20" s="782"/>
      <c r="DX20" s="782"/>
      <c r="DY20" s="782"/>
      <c r="DZ20" s="782"/>
      <c r="EA20" s="782"/>
      <c r="EB20" s="782"/>
      <c r="EC20" s="782"/>
      <c r="ED20" s="782"/>
      <c r="EE20" s="782"/>
      <c r="EF20" s="782"/>
      <c r="EG20" s="782"/>
      <c r="EH20" s="782"/>
      <c r="EI20" s="782"/>
      <c r="EJ20" s="782"/>
      <c r="EK20" s="782"/>
      <c r="EL20" s="782"/>
      <c r="EM20" s="782"/>
      <c r="EN20" s="782"/>
      <c r="EO20" s="782"/>
      <c r="EP20" s="782"/>
      <c r="EQ20" s="782"/>
      <c r="ER20" s="782"/>
      <c r="ES20" s="782"/>
      <c r="ET20" s="782"/>
      <c r="EU20" s="782"/>
      <c r="EV20" s="782"/>
      <c r="EW20" s="782"/>
      <c r="EX20" s="782"/>
      <c r="EY20" s="782"/>
      <c r="EZ20" s="782"/>
      <c r="FA20" s="782"/>
      <c r="FB20" s="782"/>
      <c r="FC20" s="782"/>
      <c r="FD20" s="782"/>
      <c r="FE20" s="782"/>
      <c r="FF20" s="782"/>
      <c r="FG20" s="782"/>
      <c r="FH20" s="782"/>
      <c r="FI20" s="782"/>
      <c r="FJ20" s="782"/>
      <c r="FK20" s="782"/>
      <c r="FL20" s="782"/>
      <c r="FM20" s="782"/>
      <c r="FN20" s="782"/>
      <c r="FO20" s="782"/>
      <c r="FP20" s="782"/>
      <c r="FQ20" s="782"/>
      <c r="FR20" s="782"/>
      <c r="FS20" s="782"/>
      <c r="FT20" s="782"/>
      <c r="FU20" s="782"/>
      <c r="FV20" s="782"/>
      <c r="FW20" s="782"/>
      <c r="FX20" s="782"/>
      <c r="FY20" s="782"/>
      <c r="FZ20" s="782"/>
      <c r="GA20" s="782"/>
      <c r="GB20" s="782"/>
      <c r="GC20" s="782"/>
      <c r="GD20" s="782"/>
      <c r="GE20" s="782"/>
      <c r="GF20" s="782"/>
      <c r="GG20" s="782"/>
      <c r="GH20" s="782"/>
      <c r="GI20" s="782"/>
      <c r="GJ20" s="782"/>
      <c r="GK20" s="782"/>
      <c r="GL20" s="782"/>
      <c r="GM20" s="782"/>
      <c r="GN20" s="782"/>
      <c r="GO20" s="782"/>
      <c r="GP20" s="782"/>
      <c r="GQ20" s="782"/>
      <c r="GR20" s="782"/>
      <c r="GS20" s="782"/>
      <c r="GT20" s="782"/>
      <c r="GU20" s="782"/>
      <c r="GV20" s="782"/>
      <c r="GW20" s="782"/>
      <c r="GX20" s="782"/>
      <c r="GY20" s="782"/>
      <c r="GZ20" s="782"/>
      <c r="HA20" s="782"/>
      <c r="HB20" s="782"/>
      <c r="HC20" s="782"/>
      <c r="HD20" s="782"/>
      <c r="HE20" s="782"/>
      <c r="HF20" s="782"/>
      <c r="HG20" s="782"/>
      <c r="HH20" s="782"/>
      <c r="HI20" s="782"/>
      <c r="HJ20" s="782"/>
      <c r="HK20" s="782"/>
      <c r="HL20" s="782"/>
      <c r="HM20" s="782"/>
      <c r="HN20" s="782"/>
      <c r="HO20" s="782"/>
      <c r="HP20" s="782"/>
      <c r="HQ20" s="782"/>
      <c r="HR20" s="782"/>
      <c r="HS20" s="782"/>
      <c r="HT20" s="782"/>
      <c r="HU20" s="782"/>
      <c r="HV20" s="782"/>
      <c r="HW20" s="782"/>
      <c r="HX20" s="782"/>
      <c r="HY20" s="782"/>
      <c r="HZ20" s="782"/>
      <c r="IA20" s="782"/>
      <c r="IB20" s="782"/>
      <c r="IC20" s="782"/>
      <c r="ID20" s="782"/>
      <c r="IE20" s="782"/>
      <c r="IF20" s="782"/>
      <c r="IG20" s="782"/>
      <c r="IH20" s="782"/>
      <c r="II20" s="782"/>
      <c r="IJ20" s="782"/>
      <c r="IK20" s="782"/>
      <c r="IL20" s="782"/>
      <c r="IM20" s="782"/>
      <c r="IN20" s="782"/>
      <c r="IO20" s="782"/>
      <c r="IP20" s="782"/>
      <c r="IQ20" s="782"/>
      <c r="IR20" s="782"/>
      <c r="IS20" s="782"/>
      <c r="IT20" s="782"/>
      <c r="IU20" s="782"/>
      <c r="IV20" s="782"/>
      <c r="IW20" s="782"/>
      <c r="IX20" s="782"/>
      <c r="IY20" s="782"/>
      <c r="IZ20" s="782"/>
      <c r="JA20" s="782"/>
      <c r="JB20" s="782"/>
      <c r="JC20" s="782"/>
      <c r="JD20" s="782"/>
      <c r="JE20" s="782"/>
      <c r="JF20" s="782"/>
      <c r="JG20" s="782"/>
      <c r="JH20" s="782"/>
      <c r="JI20" s="782"/>
      <c r="JJ20" s="782"/>
      <c r="JK20" s="782"/>
      <c r="JL20" s="782"/>
      <c r="JM20" s="782"/>
      <c r="JN20" s="782"/>
      <c r="JO20" s="782"/>
      <c r="JP20" s="782"/>
      <c r="JQ20" s="782"/>
      <c r="JR20" s="782"/>
      <c r="JS20" s="782"/>
      <c r="JT20" s="782"/>
      <c r="JU20" s="782"/>
      <c r="JV20" s="782"/>
      <c r="JW20" s="782"/>
      <c r="JX20" s="782"/>
      <c r="JY20" s="782"/>
      <c r="JZ20" s="782"/>
      <c r="KA20" s="782"/>
      <c r="KB20" s="782"/>
      <c r="KC20" s="782"/>
      <c r="KD20" s="782"/>
      <c r="KE20" s="782"/>
      <c r="KF20" s="782"/>
      <c r="KG20" s="782"/>
      <c r="KH20" s="782"/>
      <c r="KI20" s="782"/>
      <c r="KJ20" s="782"/>
      <c r="KK20" s="782"/>
      <c r="KL20" s="782"/>
      <c r="KM20" s="782"/>
      <c r="KN20" s="782"/>
      <c r="KO20" s="782"/>
      <c r="KP20" s="782"/>
      <c r="KQ20" s="782"/>
      <c r="KR20" s="782"/>
      <c r="KS20" s="782"/>
      <c r="KT20" s="782"/>
      <c r="KU20" s="782"/>
      <c r="KV20" s="782"/>
      <c r="KW20" s="782"/>
      <c r="KX20" s="782"/>
      <c r="KY20" s="782"/>
      <c r="KZ20" s="782"/>
      <c r="LA20" s="782"/>
      <c r="LB20" s="782"/>
      <c r="LC20" s="782"/>
      <c r="LD20" s="782"/>
      <c r="LE20" s="782"/>
      <c r="LF20" s="782"/>
      <c r="LG20" s="782"/>
      <c r="LH20" s="782"/>
      <c r="LI20" s="782"/>
      <c r="LJ20" s="782"/>
      <c r="LK20" s="782"/>
      <c r="LL20" s="782"/>
      <c r="LM20" s="782"/>
      <c r="LN20" s="782"/>
      <c r="LO20" s="782"/>
      <c r="LP20" s="782"/>
      <c r="LQ20" s="782"/>
      <c r="LR20" s="782"/>
      <c r="LS20" s="782"/>
      <c r="LT20" s="782"/>
      <c r="LU20" s="782"/>
      <c r="LV20" s="782"/>
      <c r="LW20" s="782"/>
      <c r="LX20" s="782"/>
      <c r="LY20" s="782"/>
      <c r="LZ20" s="782"/>
      <c r="MA20" s="782"/>
      <c r="MB20" s="782"/>
      <c r="MC20" s="782"/>
      <c r="MD20" s="782"/>
      <c r="ME20" s="782"/>
      <c r="MF20" s="782"/>
      <c r="MG20" s="782"/>
      <c r="MH20" s="782"/>
      <c r="MI20" s="782"/>
      <c r="MJ20" s="782"/>
      <c r="MK20" s="782"/>
      <c r="ML20" s="782"/>
      <c r="MM20" s="782"/>
      <c r="MN20" s="782"/>
      <c r="MO20" s="782"/>
      <c r="MP20" s="782"/>
      <c r="MQ20" s="782"/>
      <c r="MR20" s="782"/>
      <c r="MS20" s="782"/>
      <c r="MT20" s="782"/>
      <c r="MU20" s="782"/>
      <c r="MV20" s="782"/>
      <c r="MW20" s="782"/>
      <c r="MX20" s="782"/>
      <c r="MY20" s="782"/>
      <c r="MZ20" s="782"/>
      <c r="NA20" s="782"/>
      <c r="NB20" s="782"/>
      <c r="NC20" s="782"/>
      <c r="ND20" s="782"/>
      <c r="NE20" s="782"/>
      <c r="NF20" s="782"/>
      <c r="NG20" s="782"/>
      <c r="NH20" s="782"/>
      <c r="NI20" s="782"/>
      <c r="NJ20" s="782"/>
      <c r="NK20" s="782"/>
      <c r="NL20" s="782"/>
      <c r="NM20" s="782"/>
      <c r="NN20" s="782"/>
      <c r="NO20" s="782"/>
      <c r="NP20" s="782"/>
      <c r="NQ20" s="782"/>
      <c r="NR20" s="782"/>
      <c r="NS20" s="782"/>
      <c r="NT20" s="782"/>
      <c r="NU20" s="782"/>
      <c r="NV20" s="782"/>
      <c r="NW20" s="782"/>
      <c r="NX20" s="782"/>
      <c r="NY20" s="782"/>
      <c r="NZ20" s="782"/>
      <c r="OA20" s="782"/>
      <c r="OB20" s="782"/>
      <c r="OC20" s="782"/>
      <c r="OD20" s="782"/>
      <c r="OE20" s="782"/>
      <c r="OF20" s="782"/>
      <c r="OG20" s="782"/>
      <c r="OH20" s="782"/>
      <c r="OI20" s="782"/>
      <c r="OJ20" s="782"/>
      <c r="OK20" s="782"/>
      <c r="OL20" s="782"/>
      <c r="OM20" s="782"/>
      <c r="ON20" s="782"/>
      <c r="OO20" s="782"/>
      <c r="OP20" s="782"/>
      <c r="OQ20" s="782"/>
      <c r="OR20" s="782"/>
      <c r="OS20" s="782"/>
      <c r="OT20" s="782"/>
      <c r="OU20" s="782"/>
      <c r="OV20" s="782"/>
      <c r="OW20" s="782"/>
      <c r="OX20" s="782"/>
      <c r="OY20" s="782"/>
      <c r="OZ20" s="782"/>
      <c r="PA20" s="782"/>
      <c r="PB20" s="782"/>
      <c r="PC20" s="782"/>
      <c r="PD20" s="782"/>
      <c r="PE20" s="782"/>
      <c r="PF20" s="782"/>
      <c r="PG20" s="782"/>
      <c r="PH20" s="782"/>
      <c r="PI20" s="782"/>
      <c r="PJ20" s="782"/>
      <c r="PK20" s="782"/>
      <c r="PL20" s="782"/>
      <c r="PM20" s="782"/>
      <c r="PN20" s="782"/>
      <c r="PO20" s="782"/>
    </row>
    <row r="21" spans="1:431" s="143" customFormat="1">
      <c r="A21" s="782"/>
      <c r="B21" s="782"/>
      <c r="C21" s="785"/>
      <c r="D21" s="785"/>
      <c r="E21" s="785"/>
      <c r="F21" s="785"/>
      <c r="G21" s="785"/>
      <c r="H21" s="785"/>
      <c r="I21" s="785"/>
      <c r="J21" s="785"/>
      <c r="K21" s="785"/>
      <c r="L21" s="785"/>
      <c r="M21" s="782"/>
      <c r="N21" s="782"/>
      <c r="O21" s="782"/>
      <c r="P21" s="782"/>
      <c r="Q21" s="782"/>
      <c r="R21" s="782"/>
      <c r="S21" s="782"/>
      <c r="T21" s="782"/>
      <c r="U21" s="782"/>
      <c r="V21" s="782"/>
      <c r="W21" s="782"/>
      <c r="X21" s="782"/>
      <c r="Y21" s="782"/>
      <c r="Z21" s="782"/>
      <c r="AA21" s="782"/>
      <c r="AB21" s="782"/>
      <c r="AC21" s="782"/>
      <c r="AD21" s="782"/>
      <c r="AE21" s="782"/>
      <c r="AF21" s="782"/>
      <c r="AG21" s="782"/>
      <c r="AH21" s="782"/>
      <c r="AI21" s="782"/>
      <c r="AJ21" s="782"/>
      <c r="AK21" s="782"/>
      <c r="AL21" s="782"/>
      <c r="AM21" s="782"/>
      <c r="AN21" s="782"/>
      <c r="AO21" s="782"/>
      <c r="AP21" s="782"/>
      <c r="AQ21" s="782"/>
      <c r="AR21" s="782"/>
      <c r="AS21" s="782"/>
      <c r="AT21" s="782"/>
      <c r="AU21" s="782"/>
      <c r="AV21" s="782"/>
      <c r="AW21" s="782"/>
      <c r="AX21" s="782"/>
      <c r="AY21" s="782"/>
      <c r="AZ21" s="782"/>
      <c r="BA21" s="782"/>
      <c r="BB21" s="782"/>
      <c r="BC21" s="782"/>
      <c r="BD21" s="782"/>
      <c r="BE21" s="782"/>
      <c r="BF21" s="782"/>
      <c r="BG21" s="782"/>
      <c r="BH21" s="782"/>
      <c r="BI21" s="782"/>
      <c r="BJ21" s="782"/>
      <c r="BK21" s="782"/>
      <c r="BL21" s="782"/>
      <c r="BM21" s="782"/>
      <c r="BN21" s="782"/>
      <c r="BO21" s="782"/>
      <c r="BP21" s="782"/>
      <c r="BQ21" s="782"/>
      <c r="BR21" s="782"/>
      <c r="BS21" s="782"/>
      <c r="BT21" s="782"/>
      <c r="BU21" s="782"/>
      <c r="BV21" s="782"/>
      <c r="BW21" s="782"/>
      <c r="BX21" s="782"/>
      <c r="BY21" s="782"/>
      <c r="BZ21" s="782"/>
      <c r="CA21" s="782"/>
      <c r="CB21" s="782"/>
      <c r="CC21" s="782"/>
      <c r="CD21" s="782"/>
      <c r="CE21" s="782"/>
      <c r="CF21" s="782"/>
      <c r="CG21" s="782"/>
      <c r="CH21" s="782"/>
      <c r="CI21" s="782"/>
      <c r="CJ21" s="782"/>
      <c r="CK21" s="782"/>
      <c r="CL21" s="782"/>
      <c r="CM21" s="782"/>
      <c r="CN21" s="782"/>
      <c r="CO21" s="782"/>
      <c r="CP21" s="782"/>
      <c r="CQ21" s="782"/>
      <c r="CR21" s="782"/>
      <c r="CS21" s="782"/>
      <c r="CT21" s="782"/>
      <c r="CU21" s="782"/>
      <c r="CV21" s="782"/>
      <c r="CW21" s="782"/>
      <c r="CX21" s="782"/>
      <c r="CY21" s="782"/>
      <c r="CZ21" s="782"/>
      <c r="DA21" s="782"/>
      <c r="DB21" s="782"/>
      <c r="DC21" s="782"/>
      <c r="DD21" s="782"/>
      <c r="DE21" s="782"/>
      <c r="DF21" s="782"/>
      <c r="DG21" s="782"/>
      <c r="DH21" s="782"/>
      <c r="DI21" s="782"/>
      <c r="DJ21" s="782"/>
      <c r="DK21" s="782"/>
      <c r="DL21" s="782"/>
      <c r="DM21" s="782"/>
      <c r="DN21" s="782"/>
      <c r="DO21" s="782"/>
      <c r="DP21" s="782"/>
      <c r="DQ21" s="782"/>
      <c r="DR21" s="782"/>
      <c r="DS21" s="782"/>
      <c r="DT21" s="782"/>
      <c r="DU21" s="782"/>
      <c r="DV21" s="782"/>
      <c r="DW21" s="782"/>
      <c r="DX21" s="782"/>
      <c r="DY21" s="782"/>
      <c r="DZ21" s="782"/>
      <c r="EA21" s="782"/>
      <c r="EB21" s="782"/>
      <c r="EC21" s="782"/>
      <c r="ED21" s="782"/>
      <c r="EE21" s="782"/>
      <c r="EF21" s="782"/>
      <c r="EG21" s="782"/>
      <c r="EH21" s="782"/>
      <c r="EI21" s="782"/>
      <c r="EJ21" s="782"/>
      <c r="EK21" s="782"/>
      <c r="EL21" s="782"/>
      <c r="EM21" s="782"/>
      <c r="EN21" s="782"/>
      <c r="EO21" s="782"/>
      <c r="EP21" s="782"/>
      <c r="EQ21" s="782"/>
      <c r="ER21" s="782"/>
      <c r="ES21" s="782"/>
      <c r="ET21" s="782"/>
      <c r="EU21" s="782"/>
      <c r="EV21" s="782"/>
      <c r="EW21" s="782"/>
      <c r="EX21" s="782"/>
      <c r="EY21" s="782"/>
      <c r="EZ21" s="782"/>
      <c r="FA21" s="782"/>
      <c r="FB21" s="782"/>
      <c r="FC21" s="782"/>
      <c r="FD21" s="782"/>
      <c r="FE21" s="782"/>
      <c r="FF21" s="782"/>
      <c r="FG21" s="782"/>
      <c r="FH21" s="782"/>
      <c r="FI21" s="782"/>
      <c r="FJ21" s="782"/>
      <c r="FK21" s="782"/>
      <c r="FL21" s="782"/>
      <c r="FM21" s="782"/>
      <c r="FN21" s="782"/>
      <c r="FO21" s="782"/>
      <c r="FP21" s="782"/>
      <c r="FQ21" s="782"/>
      <c r="FR21" s="782"/>
      <c r="FS21" s="782"/>
      <c r="FT21" s="782"/>
      <c r="FU21" s="782"/>
      <c r="FV21" s="782"/>
      <c r="FW21" s="782"/>
      <c r="FX21" s="782"/>
      <c r="FY21" s="782"/>
      <c r="FZ21" s="782"/>
      <c r="GA21" s="782"/>
      <c r="GB21" s="782"/>
      <c r="GC21" s="782"/>
      <c r="GD21" s="782"/>
      <c r="GE21" s="782"/>
      <c r="GF21" s="782"/>
      <c r="GG21" s="782"/>
      <c r="GH21" s="782"/>
      <c r="GI21" s="782"/>
      <c r="GJ21" s="782"/>
      <c r="GK21" s="782"/>
      <c r="GL21" s="782"/>
      <c r="GM21" s="782"/>
      <c r="GN21" s="782"/>
      <c r="GO21" s="782"/>
      <c r="GP21" s="782"/>
      <c r="GQ21" s="782"/>
      <c r="GR21" s="782"/>
      <c r="GS21" s="782"/>
      <c r="GT21" s="782"/>
      <c r="GU21" s="782"/>
      <c r="GV21" s="782"/>
      <c r="GW21" s="782"/>
      <c r="GX21" s="782"/>
      <c r="GY21" s="782"/>
      <c r="GZ21" s="782"/>
      <c r="HA21" s="782"/>
      <c r="HB21" s="782"/>
      <c r="HC21" s="782"/>
      <c r="HD21" s="782"/>
      <c r="HE21" s="782"/>
      <c r="HF21" s="782"/>
      <c r="HG21" s="782"/>
      <c r="HH21" s="782"/>
      <c r="HI21" s="782"/>
      <c r="HJ21" s="782"/>
      <c r="HK21" s="782"/>
      <c r="HL21" s="782"/>
      <c r="HM21" s="782"/>
      <c r="HN21" s="782"/>
      <c r="HO21" s="782"/>
      <c r="HP21" s="782"/>
      <c r="HQ21" s="782"/>
      <c r="HR21" s="782"/>
      <c r="HS21" s="782"/>
      <c r="HT21" s="782"/>
      <c r="HU21" s="782"/>
      <c r="HV21" s="782"/>
      <c r="HW21" s="782"/>
      <c r="HX21" s="782"/>
      <c r="HY21" s="782"/>
      <c r="HZ21" s="782"/>
      <c r="IA21" s="782"/>
      <c r="IB21" s="782"/>
      <c r="IC21" s="782"/>
      <c r="ID21" s="782"/>
      <c r="IE21" s="782"/>
      <c r="IF21" s="782"/>
      <c r="IG21" s="782"/>
      <c r="IH21" s="782"/>
      <c r="II21" s="782"/>
      <c r="IJ21" s="782"/>
      <c r="IK21" s="782"/>
      <c r="IL21" s="782"/>
      <c r="IM21" s="782"/>
      <c r="IN21" s="782"/>
      <c r="IO21" s="782"/>
      <c r="IP21" s="782"/>
      <c r="IQ21" s="782"/>
      <c r="IR21" s="782"/>
      <c r="IS21" s="782"/>
      <c r="IT21" s="782"/>
      <c r="IU21" s="782"/>
      <c r="IV21" s="782"/>
      <c r="IW21" s="782"/>
      <c r="IX21" s="782"/>
      <c r="IY21" s="782"/>
      <c r="IZ21" s="782"/>
      <c r="JA21" s="782"/>
      <c r="JB21" s="782"/>
      <c r="JC21" s="782"/>
      <c r="JD21" s="782"/>
      <c r="JE21" s="782"/>
      <c r="JF21" s="782"/>
      <c r="JG21" s="782"/>
      <c r="JH21" s="782"/>
      <c r="JI21" s="782"/>
      <c r="JJ21" s="782"/>
      <c r="JK21" s="782"/>
      <c r="JL21" s="782"/>
      <c r="JM21" s="782"/>
      <c r="JN21" s="782"/>
      <c r="JO21" s="782"/>
      <c r="JP21" s="782"/>
      <c r="JQ21" s="782"/>
      <c r="JR21" s="782"/>
      <c r="JS21" s="782"/>
      <c r="JT21" s="782"/>
      <c r="JU21" s="782"/>
      <c r="JV21" s="782"/>
      <c r="JW21" s="782"/>
      <c r="JX21" s="782"/>
      <c r="JY21" s="782"/>
      <c r="JZ21" s="782"/>
      <c r="KA21" s="782"/>
      <c r="KB21" s="782"/>
      <c r="KC21" s="782"/>
      <c r="KD21" s="782"/>
      <c r="KE21" s="782"/>
      <c r="KF21" s="782"/>
      <c r="KG21" s="782"/>
      <c r="KH21" s="782"/>
      <c r="KI21" s="782"/>
      <c r="KJ21" s="782"/>
      <c r="KK21" s="782"/>
      <c r="KL21" s="782"/>
      <c r="KM21" s="782"/>
      <c r="KN21" s="782"/>
      <c r="KO21" s="782"/>
      <c r="KP21" s="782"/>
      <c r="KQ21" s="782"/>
      <c r="KR21" s="782"/>
      <c r="KS21" s="782"/>
      <c r="KT21" s="782"/>
      <c r="KU21" s="782"/>
      <c r="KV21" s="782"/>
      <c r="KW21" s="782"/>
      <c r="KX21" s="782"/>
      <c r="KY21" s="782"/>
      <c r="KZ21" s="782"/>
      <c r="LA21" s="782"/>
      <c r="LB21" s="782"/>
      <c r="LC21" s="782"/>
      <c r="LD21" s="782"/>
      <c r="LE21" s="782"/>
      <c r="LF21" s="782"/>
      <c r="LG21" s="782"/>
      <c r="LH21" s="782"/>
      <c r="LI21" s="782"/>
      <c r="LJ21" s="782"/>
      <c r="LK21" s="782"/>
      <c r="LL21" s="782"/>
      <c r="LM21" s="782"/>
      <c r="LN21" s="782"/>
      <c r="LO21" s="782"/>
      <c r="LP21" s="782"/>
      <c r="LQ21" s="782"/>
      <c r="LR21" s="782"/>
      <c r="LS21" s="782"/>
      <c r="LT21" s="782"/>
      <c r="LU21" s="782"/>
      <c r="LV21" s="782"/>
      <c r="LW21" s="782"/>
      <c r="LX21" s="782"/>
      <c r="LY21" s="782"/>
      <c r="LZ21" s="782"/>
      <c r="MA21" s="782"/>
      <c r="MB21" s="782"/>
      <c r="MC21" s="782"/>
      <c r="MD21" s="782"/>
      <c r="ME21" s="782"/>
      <c r="MF21" s="782"/>
      <c r="MG21" s="782"/>
      <c r="MH21" s="782"/>
      <c r="MI21" s="782"/>
      <c r="MJ21" s="782"/>
      <c r="MK21" s="782"/>
      <c r="ML21" s="782"/>
      <c r="MM21" s="782"/>
      <c r="MN21" s="782"/>
      <c r="MO21" s="782"/>
      <c r="MP21" s="782"/>
      <c r="MQ21" s="782"/>
      <c r="MR21" s="782"/>
      <c r="MS21" s="782"/>
      <c r="MT21" s="782"/>
      <c r="MU21" s="782"/>
      <c r="MV21" s="782"/>
      <c r="MW21" s="782"/>
      <c r="MX21" s="782"/>
      <c r="MY21" s="782"/>
      <c r="MZ21" s="782"/>
      <c r="NA21" s="782"/>
      <c r="NB21" s="782"/>
      <c r="NC21" s="782"/>
      <c r="ND21" s="782"/>
      <c r="NE21" s="782"/>
      <c r="NF21" s="782"/>
      <c r="NG21" s="782"/>
      <c r="NH21" s="782"/>
      <c r="NI21" s="782"/>
      <c r="NJ21" s="782"/>
      <c r="NK21" s="782"/>
      <c r="NL21" s="782"/>
      <c r="NM21" s="782"/>
      <c r="NN21" s="782"/>
      <c r="NO21" s="782"/>
      <c r="NP21" s="782"/>
      <c r="NQ21" s="782"/>
      <c r="NR21" s="782"/>
      <c r="NS21" s="782"/>
      <c r="NT21" s="782"/>
      <c r="NU21" s="782"/>
      <c r="NV21" s="782"/>
      <c r="NW21" s="782"/>
      <c r="NX21" s="782"/>
      <c r="NY21" s="782"/>
      <c r="NZ21" s="782"/>
      <c r="OA21" s="782"/>
      <c r="OB21" s="782"/>
      <c r="OC21" s="782"/>
      <c r="OD21" s="782"/>
      <c r="OE21" s="782"/>
      <c r="OF21" s="782"/>
      <c r="OG21" s="782"/>
      <c r="OH21" s="782"/>
      <c r="OI21" s="782"/>
      <c r="OJ21" s="782"/>
      <c r="OK21" s="782"/>
      <c r="OL21" s="782"/>
      <c r="OM21" s="782"/>
      <c r="ON21" s="782"/>
      <c r="OO21" s="782"/>
      <c r="OP21" s="782"/>
      <c r="OQ21" s="782"/>
      <c r="OR21" s="782"/>
      <c r="OS21" s="782"/>
      <c r="OT21" s="782"/>
      <c r="OU21" s="782"/>
      <c r="OV21" s="782"/>
      <c r="OW21" s="782"/>
      <c r="OX21" s="782"/>
      <c r="OY21" s="782"/>
      <c r="OZ21" s="782"/>
      <c r="PA21" s="782"/>
      <c r="PB21" s="782"/>
      <c r="PC21" s="782"/>
      <c r="PD21" s="782"/>
      <c r="PE21" s="782"/>
      <c r="PF21" s="782"/>
      <c r="PG21" s="782"/>
      <c r="PH21" s="782"/>
      <c r="PI21" s="782"/>
      <c r="PJ21" s="782"/>
      <c r="PK21" s="782"/>
      <c r="PL21" s="782"/>
      <c r="PM21" s="782"/>
      <c r="PN21" s="782"/>
      <c r="PO21" s="782"/>
    </row>
    <row r="22" spans="1:431" s="143" customFormat="1">
      <c r="A22" s="782"/>
      <c r="B22" s="782"/>
      <c r="C22" s="785"/>
      <c r="D22" s="785"/>
      <c r="E22" s="785"/>
      <c r="F22" s="785"/>
      <c r="G22" s="785"/>
      <c r="H22" s="785"/>
      <c r="I22" s="785"/>
      <c r="J22" s="785"/>
      <c r="K22" s="785"/>
      <c r="L22" s="785"/>
      <c r="M22" s="782"/>
      <c r="N22" s="782"/>
      <c r="O22" s="782"/>
      <c r="P22" s="782"/>
      <c r="Q22" s="782"/>
      <c r="R22" s="782"/>
      <c r="S22" s="782"/>
      <c r="T22" s="782"/>
      <c r="U22" s="782"/>
      <c r="V22" s="782"/>
      <c r="W22" s="782"/>
      <c r="X22" s="782"/>
      <c r="Y22" s="782"/>
      <c r="Z22" s="782"/>
      <c r="AA22" s="782"/>
      <c r="AB22" s="782"/>
      <c r="AC22" s="782"/>
      <c r="AD22" s="782"/>
      <c r="AE22" s="782"/>
      <c r="AF22" s="782"/>
      <c r="AG22" s="782"/>
      <c r="AH22" s="782"/>
      <c r="AI22" s="782"/>
      <c r="AJ22" s="782"/>
      <c r="AK22" s="782"/>
      <c r="AL22" s="782"/>
      <c r="AM22" s="782"/>
      <c r="AN22" s="782"/>
      <c r="AO22" s="782"/>
      <c r="AP22" s="782"/>
      <c r="AQ22" s="782"/>
      <c r="AR22" s="782"/>
      <c r="AS22" s="782"/>
      <c r="AT22" s="782"/>
      <c r="AU22" s="782"/>
      <c r="AV22" s="782"/>
      <c r="AW22" s="782"/>
      <c r="AX22" s="782"/>
      <c r="AY22" s="782"/>
      <c r="AZ22" s="782"/>
      <c r="BA22" s="782"/>
      <c r="BB22" s="782"/>
      <c r="BC22" s="782"/>
      <c r="BD22" s="782"/>
      <c r="BE22" s="782"/>
      <c r="BF22" s="782"/>
      <c r="BG22" s="782"/>
      <c r="BH22" s="782"/>
      <c r="BI22" s="782"/>
      <c r="BJ22" s="782"/>
      <c r="BK22" s="782"/>
      <c r="BL22" s="782"/>
      <c r="BM22" s="782"/>
      <c r="BN22" s="782"/>
      <c r="BO22" s="782"/>
      <c r="BP22" s="782"/>
      <c r="BQ22" s="782"/>
      <c r="BR22" s="782"/>
      <c r="BS22" s="782"/>
      <c r="BT22" s="782"/>
      <c r="BU22" s="782"/>
      <c r="BV22" s="782"/>
      <c r="BW22" s="782"/>
      <c r="BX22" s="782"/>
      <c r="BY22" s="782"/>
      <c r="BZ22" s="782"/>
      <c r="CA22" s="782"/>
      <c r="CB22" s="782"/>
      <c r="CC22" s="782"/>
      <c r="CD22" s="782"/>
      <c r="CE22" s="782"/>
      <c r="CF22" s="782"/>
      <c r="CG22" s="782"/>
      <c r="CH22" s="782"/>
      <c r="CI22" s="782"/>
      <c r="CJ22" s="782"/>
      <c r="CK22" s="782"/>
      <c r="CL22" s="782"/>
      <c r="CM22" s="782"/>
      <c r="CN22" s="782"/>
      <c r="CO22" s="782"/>
      <c r="CP22" s="782"/>
      <c r="CQ22" s="782"/>
      <c r="CR22" s="782"/>
      <c r="CS22" s="782"/>
      <c r="CT22" s="782"/>
      <c r="CU22" s="782"/>
      <c r="CV22" s="782"/>
      <c r="CW22" s="782"/>
      <c r="CX22" s="782"/>
      <c r="CY22" s="782"/>
      <c r="CZ22" s="782"/>
      <c r="DA22" s="782"/>
      <c r="DB22" s="782"/>
      <c r="DC22" s="782"/>
      <c r="DD22" s="782"/>
      <c r="DE22" s="782"/>
      <c r="DF22" s="782"/>
      <c r="DG22" s="782"/>
      <c r="DH22" s="782"/>
      <c r="DI22" s="782"/>
      <c r="DJ22" s="782"/>
      <c r="DK22" s="782"/>
      <c r="DL22" s="782"/>
      <c r="DM22" s="782"/>
      <c r="DN22" s="782"/>
      <c r="DO22" s="782"/>
      <c r="DP22" s="782"/>
      <c r="DQ22" s="782"/>
      <c r="DR22" s="782"/>
      <c r="DS22" s="782"/>
      <c r="DT22" s="782"/>
      <c r="DU22" s="782"/>
      <c r="DV22" s="782"/>
      <c r="DW22" s="782"/>
      <c r="DX22" s="782"/>
      <c r="DY22" s="782"/>
      <c r="DZ22" s="782"/>
      <c r="EA22" s="782"/>
      <c r="EB22" s="782"/>
      <c r="EC22" s="782"/>
      <c r="ED22" s="782"/>
      <c r="EE22" s="782"/>
      <c r="EF22" s="782"/>
      <c r="EG22" s="782"/>
      <c r="EH22" s="782"/>
      <c r="EI22" s="782"/>
      <c r="EJ22" s="782"/>
      <c r="EK22" s="782"/>
      <c r="EL22" s="782"/>
      <c r="EM22" s="782"/>
      <c r="EN22" s="782"/>
      <c r="EO22" s="782"/>
      <c r="EP22" s="782"/>
      <c r="EQ22" s="782"/>
      <c r="ER22" s="782"/>
      <c r="ES22" s="782"/>
      <c r="ET22" s="782"/>
      <c r="EU22" s="782"/>
      <c r="EV22" s="782"/>
      <c r="EW22" s="782"/>
      <c r="EX22" s="782"/>
      <c r="EY22" s="782"/>
      <c r="EZ22" s="782"/>
      <c r="FA22" s="782"/>
      <c r="FB22" s="782"/>
      <c r="FC22" s="782"/>
      <c r="FD22" s="782"/>
      <c r="FE22" s="782"/>
      <c r="FF22" s="782"/>
      <c r="FG22" s="782"/>
      <c r="FH22" s="782"/>
      <c r="FI22" s="782"/>
      <c r="FJ22" s="782"/>
      <c r="FK22" s="782"/>
      <c r="FL22" s="782"/>
      <c r="FM22" s="782"/>
      <c r="FN22" s="782"/>
      <c r="FO22" s="782"/>
      <c r="FP22" s="782"/>
      <c r="FQ22" s="782"/>
      <c r="FR22" s="782"/>
      <c r="FS22" s="782"/>
      <c r="FT22" s="782"/>
      <c r="FU22" s="782"/>
      <c r="FV22" s="782"/>
      <c r="FW22" s="782"/>
      <c r="FX22" s="782"/>
      <c r="FY22" s="782"/>
      <c r="FZ22" s="782"/>
      <c r="GA22" s="782"/>
      <c r="GB22" s="782"/>
      <c r="GC22" s="782"/>
      <c r="GD22" s="782"/>
      <c r="GE22" s="782"/>
      <c r="GF22" s="782"/>
      <c r="GG22" s="782"/>
      <c r="GH22" s="782"/>
      <c r="GI22" s="782"/>
      <c r="GJ22" s="782"/>
      <c r="GK22" s="782"/>
      <c r="GL22" s="782"/>
      <c r="GM22" s="782"/>
      <c r="GN22" s="782"/>
      <c r="GO22" s="782"/>
      <c r="GP22" s="782"/>
      <c r="GQ22" s="782"/>
      <c r="GR22" s="782"/>
      <c r="GS22" s="782"/>
      <c r="GT22" s="782"/>
      <c r="GU22" s="782"/>
      <c r="GV22" s="782"/>
      <c r="GW22" s="782"/>
      <c r="GX22" s="782"/>
      <c r="GY22" s="782"/>
      <c r="GZ22" s="782"/>
      <c r="HA22" s="782"/>
      <c r="HB22" s="782"/>
      <c r="HC22" s="782"/>
      <c r="HD22" s="782"/>
      <c r="HE22" s="782"/>
      <c r="HF22" s="782"/>
      <c r="HG22" s="782"/>
      <c r="HH22" s="782"/>
      <c r="HI22" s="782"/>
      <c r="HJ22" s="782"/>
      <c r="HK22" s="782"/>
      <c r="HL22" s="782"/>
      <c r="HM22" s="782"/>
      <c r="HN22" s="782"/>
      <c r="HO22" s="782"/>
      <c r="HP22" s="782"/>
      <c r="HQ22" s="782"/>
      <c r="HR22" s="782"/>
      <c r="HS22" s="782"/>
      <c r="HT22" s="782"/>
      <c r="HU22" s="782"/>
      <c r="HV22" s="782"/>
      <c r="HW22" s="782"/>
      <c r="HX22" s="782"/>
      <c r="HY22" s="782"/>
      <c r="HZ22" s="782"/>
      <c r="IA22" s="782"/>
      <c r="IB22" s="782"/>
      <c r="IC22" s="782"/>
      <c r="ID22" s="782"/>
      <c r="IE22" s="782"/>
      <c r="IF22" s="782"/>
      <c r="IG22" s="782"/>
      <c r="IH22" s="782"/>
      <c r="II22" s="782"/>
      <c r="IJ22" s="782"/>
      <c r="IK22" s="782"/>
      <c r="IL22" s="782"/>
      <c r="IM22" s="782"/>
      <c r="IN22" s="782"/>
      <c r="IO22" s="782"/>
      <c r="IP22" s="782"/>
      <c r="IQ22" s="782"/>
      <c r="IR22" s="782"/>
      <c r="IS22" s="782"/>
      <c r="IT22" s="782"/>
      <c r="IU22" s="782"/>
      <c r="IV22" s="782"/>
      <c r="IW22" s="782"/>
      <c r="IX22" s="782"/>
      <c r="IY22" s="782"/>
      <c r="IZ22" s="782"/>
      <c r="JA22" s="782"/>
      <c r="JB22" s="782"/>
      <c r="JC22" s="782"/>
      <c r="JD22" s="782"/>
      <c r="JE22" s="782"/>
      <c r="JF22" s="782"/>
      <c r="JG22" s="782"/>
      <c r="JH22" s="782"/>
      <c r="JI22" s="782"/>
      <c r="JJ22" s="782"/>
      <c r="JK22" s="782"/>
      <c r="JL22" s="782"/>
      <c r="JM22" s="782"/>
      <c r="JN22" s="782"/>
      <c r="JO22" s="782"/>
      <c r="JP22" s="782"/>
      <c r="JQ22" s="782"/>
      <c r="JR22" s="782"/>
      <c r="JS22" s="782"/>
      <c r="JT22" s="782"/>
      <c r="JU22" s="782"/>
      <c r="JV22" s="782"/>
      <c r="JW22" s="782"/>
      <c r="JX22" s="782"/>
      <c r="JY22" s="782"/>
      <c r="JZ22" s="782"/>
      <c r="KA22" s="782"/>
      <c r="KB22" s="782"/>
      <c r="KC22" s="782"/>
      <c r="KD22" s="782"/>
      <c r="KE22" s="782"/>
      <c r="KF22" s="782"/>
      <c r="KG22" s="782"/>
      <c r="KH22" s="782"/>
      <c r="KI22" s="782"/>
      <c r="KJ22" s="782"/>
      <c r="KK22" s="782"/>
      <c r="KL22" s="782"/>
      <c r="KM22" s="782"/>
      <c r="KN22" s="782"/>
      <c r="KO22" s="782"/>
      <c r="KP22" s="782"/>
      <c r="KQ22" s="782"/>
      <c r="KR22" s="782"/>
      <c r="KS22" s="782"/>
      <c r="KT22" s="782"/>
      <c r="KU22" s="782"/>
      <c r="KV22" s="782"/>
      <c r="KW22" s="782"/>
      <c r="KX22" s="782"/>
      <c r="KY22" s="782"/>
      <c r="KZ22" s="782"/>
      <c r="LA22" s="782"/>
      <c r="LB22" s="782"/>
      <c r="LC22" s="782"/>
      <c r="LD22" s="782"/>
      <c r="LE22" s="782"/>
      <c r="LF22" s="782"/>
      <c r="LG22" s="782"/>
      <c r="LH22" s="782"/>
      <c r="LI22" s="782"/>
      <c r="LJ22" s="782"/>
      <c r="LK22" s="782"/>
      <c r="LL22" s="782"/>
      <c r="LM22" s="782"/>
      <c r="LN22" s="782"/>
      <c r="LO22" s="782"/>
      <c r="LP22" s="782"/>
      <c r="LQ22" s="782"/>
      <c r="LR22" s="782"/>
      <c r="LS22" s="782"/>
      <c r="LT22" s="782"/>
      <c r="LU22" s="782"/>
      <c r="LV22" s="782"/>
      <c r="LW22" s="782"/>
      <c r="LX22" s="782"/>
      <c r="LY22" s="782"/>
      <c r="LZ22" s="782"/>
      <c r="MA22" s="782"/>
      <c r="MB22" s="782"/>
      <c r="MC22" s="782"/>
      <c r="MD22" s="782"/>
      <c r="ME22" s="782"/>
      <c r="MF22" s="782"/>
      <c r="MG22" s="782"/>
      <c r="MH22" s="782"/>
      <c r="MI22" s="782"/>
      <c r="MJ22" s="782"/>
      <c r="MK22" s="782"/>
      <c r="ML22" s="782"/>
      <c r="MM22" s="782"/>
      <c r="MN22" s="782"/>
      <c r="MO22" s="782"/>
      <c r="MP22" s="782"/>
      <c r="MQ22" s="782"/>
      <c r="MR22" s="782"/>
      <c r="MS22" s="782"/>
      <c r="MT22" s="782"/>
      <c r="MU22" s="782"/>
      <c r="MV22" s="782"/>
      <c r="MW22" s="782"/>
      <c r="MX22" s="782"/>
      <c r="MY22" s="782"/>
      <c r="MZ22" s="782"/>
      <c r="NA22" s="782"/>
      <c r="NB22" s="782"/>
      <c r="NC22" s="782"/>
      <c r="ND22" s="782"/>
      <c r="NE22" s="782"/>
      <c r="NF22" s="782"/>
      <c r="NG22" s="782"/>
      <c r="NH22" s="782"/>
      <c r="NI22" s="782"/>
      <c r="NJ22" s="782"/>
      <c r="NK22" s="782"/>
      <c r="NL22" s="782"/>
      <c r="NM22" s="782"/>
      <c r="NN22" s="782"/>
      <c r="NO22" s="782"/>
      <c r="NP22" s="782"/>
      <c r="NQ22" s="782"/>
      <c r="NR22" s="782"/>
      <c r="NS22" s="782"/>
      <c r="NT22" s="782"/>
      <c r="NU22" s="782"/>
      <c r="NV22" s="782"/>
      <c r="NW22" s="782"/>
      <c r="NX22" s="782"/>
      <c r="NY22" s="782"/>
      <c r="NZ22" s="782"/>
      <c r="OA22" s="782"/>
      <c r="OB22" s="782"/>
      <c r="OC22" s="782"/>
      <c r="OD22" s="782"/>
      <c r="OE22" s="782"/>
      <c r="OF22" s="782"/>
      <c r="OG22" s="782"/>
      <c r="OH22" s="782"/>
      <c r="OI22" s="782"/>
      <c r="OJ22" s="782"/>
      <c r="OK22" s="782"/>
      <c r="OL22" s="782"/>
      <c r="OM22" s="782"/>
      <c r="ON22" s="782"/>
      <c r="OO22" s="782"/>
      <c r="OP22" s="782"/>
      <c r="OQ22" s="782"/>
      <c r="OR22" s="782"/>
      <c r="OS22" s="782"/>
      <c r="OT22" s="782"/>
      <c r="OU22" s="782"/>
      <c r="OV22" s="782"/>
      <c r="OW22" s="782"/>
      <c r="OX22" s="782"/>
      <c r="OY22" s="782"/>
      <c r="OZ22" s="782"/>
      <c r="PA22" s="782"/>
      <c r="PB22" s="782"/>
      <c r="PC22" s="782"/>
      <c r="PD22" s="782"/>
      <c r="PE22" s="782"/>
      <c r="PF22" s="782"/>
      <c r="PG22" s="782"/>
      <c r="PH22" s="782"/>
      <c r="PI22" s="782"/>
      <c r="PJ22" s="782"/>
      <c r="PK22" s="782"/>
      <c r="PL22" s="782"/>
      <c r="PM22" s="782"/>
      <c r="PN22" s="782"/>
      <c r="PO22" s="782"/>
    </row>
    <row r="23" spans="1:431" s="143" customFormat="1">
      <c r="A23" s="782"/>
      <c r="B23" s="782"/>
      <c r="C23" s="785"/>
      <c r="D23" s="785"/>
      <c r="E23" s="785"/>
      <c r="F23" s="785"/>
      <c r="G23" s="785"/>
      <c r="H23" s="785"/>
      <c r="I23" s="785"/>
      <c r="J23" s="785"/>
      <c r="K23" s="785"/>
      <c r="L23" s="785"/>
      <c r="M23" s="782"/>
      <c r="N23" s="782"/>
      <c r="O23" s="782"/>
      <c r="P23" s="782"/>
      <c r="Q23" s="782"/>
      <c r="R23" s="782"/>
      <c r="S23" s="782"/>
      <c r="T23" s="782"/>
      <c r="U23" s="782"/>
      <c r="V23" s="782"/>
      <c r="W23" s="782"/>
      <c r="X23" s="782"/>
      <c r="Y23" s="782"/>
      <c r="Z23" s="782"/>
      <c r="AA23" s="782"/>
      <c r="AB23" s="782"/>
      <c r="AC23" s="782"/>
      <c r="AD23" s="782"/>
      <c r="AE23" s="782"/>
      <c r="AF23" s="782"/>
      <c r="AG23" s="782"/>
      <c r="AH23" s="782"/>
      <c r="AI23" s="782"/>
      <c r="AJ23" s="782"/>
      <c r="AK23" s="782"/>
      <c r="AL23" s="782"/>
      <c r="AM23" s="782"/>
      <c r="AN23" s="782"/>
      <c r="AO23" s="782"/>
      <c r="AP23" s="782"/>
      <c r="AQ23" s="782"/>
      <c r="AR23" s="782"/>
      <c r="AS23" s="782"/>
      <c r="AT23" s="782"/>
      <c r="AU23" s="782"/>
      <c r="AV23" s="782"/>
      <c r="AW23" s="782"/>
      <c r="AX23" s="782"/>
      <c r="AY23" s="782"/>
      <c r="AZ23" s="782"/>
      <c r="BA23" s="782"/>
      <c r="BB23" s="782"/>
      <c r="BC23" s="782"/>
      <c r="BD23" s="782"/>
      <c r="BE23" s="782"/>
      <c r="BF23" s="782"/>
      <c r="BG23" s="782"/>
      <c r="BH23" s="782"/>
      <c r="BI23" s="782"/>
      <c r="BJ23" s="782"/>
      <c r="BK23" s="782"/>
      <c r="BL23" s="782"/>
      <c r="BM23" s="782"/>
      <c r="BN23" s="782"/>
      <c r="BO23" s="782"/>
      <c r="BP23" s="782"/>
      <c r="BQ23" s="782"/>
      <c r="BR23" s="782"/>
      <c r="BS23" s="782"/>
      <c r="BT23" s="782"/>
      <c r="BU23" s="782"/>
      <c r="BV23" s="782"/>
      <c r="BW23" s="782"/>
      <c r="BX23" s="782"/>
      <c r="BY23" s="782"/>
      <c r="BZ23" s="782"/>
      <c r="CA23" s="782"/>
      <c r="CB23" s="782"/>
      <c r="CC23" s="782"/>
      <c r="CD23" s="782"/>
      <c r="CE23" s="782"/>
      <c r="CF23" s="782"/>
      <c r="CG23" s="782"/>
      <c r="CH23" s="782"/>
      <c r="CI23" s="782"/>
      <c r="CJ23" s="782"/>
      <c r="CK23" s="782"/>
      <c r="CL23" s="782"/>
      <c r="CM23" s="782"/>
      <c r="CN23" s="782"/>
      <c r="CO23" s="782"/>
      <c r="CP23" s="782"/>
      <c r="CQ23" s="782"/>
      <c r="CR23" s="782"/>
      <c r="CS23" s="782"/>
      <c r="CT23" s="782"/>
      <c r="CU23" s="782"/>
      <c r="CV23" s="782"/>
      <c r="CW23" s="782"/>
      <c r="CX23" s="782"/>
      <c r="CY23" s="782"/>
      <c r="CZ23" s="782"/>
      <c r="DA23" s="782"/>
      <c r="DB23" s="782"/>
      <c r="DC23" s="782"/>
      <c r="DD23" s="782"/>
      <c r="DE23" s="782"/>
      <c r="DF23" s="782"/>
      <c r="DG23" s="782"/>
      <c r="DH23" s="782"/>
      <c r="DI23" s="782"/>
      <c r="DJ23" s="782"/>
      <c r="DK23" s="782"/>
      <c r="DL23" s="782"/>
      <c r="DM23" s="782"/>
      <c r="DN23" s="782"/>
      <c r="DO23" s="782"/>
      <c r="DP23" s="782"/>
      <c r="DQ23" s="782"/>
      <c r="DR23" s="782"/>
      <c r="DS23" s="782"/>
      <c r="DT23" s="782"/>
      <c r="DU23" s="782"/>
      <c r="DV23" s="782"/>
      <c r="DW23" s="782"/>
      <c r="DX23" s="782"/>
      <c r="DY23" s="782"/>
      <c r="DZ23" s="782"/>
      <c r="EA23" s="782"/>
      <c r="EB23" s="782"/>
      <c r="EC23" s="782"/>
      <c r="ED23" s="782"/>
      <c r="EE23" s="782"/>
      <c r="EF23" s="782"/>
      <c r="EG23" s="782"/>
      <c r="EH23" s="782"/>
      <c r="EI23" s="782"/>
      <c r="EJ23" s="782"/>
      <c r="EK23" s="782"/>
      <c r="EL23" s="782"/>
      <c r="EM23" s="782"/>
      <c r="EN23" s="782"/>
      <c r="EO23" s="782"/>
      <c r="EP23" s="782"/>
      <c r="EQ23" s="782"/>
      <c r="ER23" s="782"/>
      <c r="ES23" s="782"/>
      <c r="ET23" s="782"/>
      <c r="EU23" s="782"/>
      <c r="EV23" s="782"/>
      <c r="EW23" s="782"/>
      <c r="EX23" s="782"/>
      <c r="EY23" s="782"/>
      <c r="EZ23" s="782"/>
      <c r="FA23" s="782"/>
      <c r="FB23" s="782"/>
      <c r="FC23" s="782"/>
      <c r="FD23" s="782"/>
      <c r="FE23" s="782"/>
      <c r="FF23" s="782"/>
      <c r="FG23" s="782"/>
      <c r="FH23" s="782"/>
      <c r="FI23" s="782"/>
      <c r="FJ23" s="782"/>
      <c r="FK23" s="782"/>
      <c r="FL23" s="782"/>
      <c r="FM23" s="782"/>
      <c r="FN23" s="782"/>
      <c r="FO23" s="782"/>
      <c r="FP23" s="782"/>
      <c r="FQ23" s="782"/>
      <c r="FR23" s="782"/>
      <c r="FS23" s="782"/>
      <c r="FT23" s="782"/>
      <c r="FU23" s="782"/>
      <c r="FV23" s="782"/>
      <c r="FW23" s="782"/>
      <c r="FX23" s="782"/>
      <c r="FY23" s="782"/>
      <c r="FZ23" s="782"/>
      <c r="GA23" s="782"/>
      <c r="GB23" s="782"/>
      <c r="GC23" s="782"/>
      <c r="GD23" s="782"/>
      <c r="GE23" s="782"/>
      <c r="GF23" s="782"/>
      <c r="GG23" s="782"/>
      <c r="GH23" s="782"/>
      <c r="GI23" s="782"/>
      <c r="GJ23" s="782"/>
      <c r="GK23" s="782"/>
      <c r="GL23" s="782"/>
      <c r="GM23" s="782"/>
      <c r="GN23" s="782"/>
      <c r="GO23" s="782"/>
      <c r="GP23" s="782"/>
      <c r="GQ23" s="782"/>
      <c r="GR23" s="782"/>
      <c r="GS23" s="782"/>
      <c r="GT23" s="782"/>
      <c r="GU23" s="782"/>
      <c r="GV23" s="782"/>
      <c r="GW23" s="782"/>
      <c r="GX23" s="782"/>
      <c r="GY23" s="782"/>
      <c r="GZ23" s="782"/>
      <c r="HA23" s="782"/>
      <c r="HB23" s="782"/>
      <c r="HC23" s="782"/>
      <c r="HD23" s="782"/>
      <c r="HE23" s="782"/>
      <c r="HF23" s="782"/>
      <c r="HG23" s="782"/>
      <c r="HH23" s="782"/>
      <c r="HI23" s="782"/>
      <c r="HJ23" s="782"/>
      <c r="HK23" s="782"/>
      <c r="HL23" s="782"/>
      <c r="HM23" s="782"/>
      <c r="HN23" s="782"/>
      <c r="HO23" s="782"/>
      <c r="HP23" s="782"/>
      <c r="HQ23" s="782"/>
      <c r="HR23" s="782"/>
      <c r="HS23" s="782"/>
      <c r="HT23" s="782"/>
      <c r="HU23" s="782"/>
      <c r="HV23" s="782"/>
      <c r="HW23" s="782"/>
      <c r="HX23" s="782"/>
      <c r="HY23" s="782"/>
      <c r="HZ23" s="782"/>
      <c r="IA23" s="782"/>
      <c r="IB23" s="782"/>
      <c r="IC23" s="782"/>
      <c r="ID23" s="782"/>
      <c r="IE23" s="782"/>
      <c r="IF23" s="782"/>
      <c r="IG23" s="782"/>
      <c r="IH23" s="782"/>
      <c r="II23" s="782"/>
      <c r="IJ23" s="782"/>
      <c r="IK23" s="782"/>
      <c r="IL23" s="782"/>
      <c r="IM23" s="782"/>
      <c r="IN23" s="782"/>
      <c r="IO23" s="782"/>
      <c r="IP23" s="782"/>
      <c r="IQ23" s="782"/>
      <c r="IR23" s="782"/>
      <c r="IS23" s="782"/>
      <c r="IT23" s="782"/>
      <c r="IU23" s="782"/>
      <c r="IV23" s="782"/>
      <c r="IW23" s="782"/>
      <c r="IX23" s="782"/>
      <c r="IY23" s="782"/>
      <c r="IZ23" s="782"/>
      <c r="JA23" s="782"/>
      <c r="JB23" s="782"/>
      <c r="JC23" s="782"/>
      <c r="JD23" s="782"/>
      <c r="JE23" s="782"/>
      <c r="JF23" s="782"/>
      <c r="JG23" s="782"/>
      <c r="JH23" s="782"/>
      <c r="JI23" s="782"/>
      <c r="JJ23" s="782"/>
      <c r="JK23" s="782"/>
      <c r="JL23" s="782"/>
      <c r="JM23" s="782"/>
      <c r="JN23" s="782"/>
      <c r="JO23" s="782"/>
      <c r="JP23" s="782"/>
      <c r="JQ23" s="782"/>
      <c r="JR23" s="782"/>
      <c r="JS23" s="782"/>
      <c r="JT23" s="782"/>
      <c r="JU23" s="782"/>
      <c r="JV23" s="782"/>
      <c r="JW23" s="782"/>
      <c r="JX23" s="782"/>
      <c r="JY23" s="782"/>
      <c r="JZ23" s="782"/>
      <c r="KA23" s="782"/>
      <c r="KB23" s="782"/>
      <c r="KC23" s="782"/>
      <c r="KD23" s="782"/>
      <c r="KE23" s="782"/>
      <c r="KF23" s="782"/>
      <c r="KG23" s="782"/>
      <c r="KH23" s="782"/>
      <c r="KI23" s="782"/>
      <c r="KJ23" s="782"/>
      <c r="KK23" s="782"/>
      <c r="KL23" s="782"/>
      <c r="KM23" s="782"/>
      <c r="KN23" s="782"/>
      <c r="KO23" s="782"/>
      <c r="KP23" s="782"/>
      <c r="KQ23" s="782"/>
      <c r="KR23" s="782"/>
      <c r="KS23" s="782"/>
      <c r="KT23" s="782"/>
      <c r="KU23" s="782"/>
      <c r="KV23" s="782"/>
      <c r="KW23" s="782"/>
      <c r="KX23" s="782"/>
      <c r="KY23" s="782"/>
      <c r="KZ23" s="782"/>
      <c r="LA23" s="782"/>
      <c r="LB23" s="782"/>
      <c r="LC23" s="782"/>
      <c r="LD23" s="782"/>
      <c r="LE23" s="782"/>
      <c r="LF23" s="782"/>
      <c r="LG23" s="782"/>
      <c r="LH23" s="782"/>
      <c r="LI23" s="782"/>
      <c r="LJ23" s="782"/>
      <c r="LK23" s="782"/>
      <c r="LL23" s="782"/>
      <c r="LM23" s="782"/>
      <c r="LN23" s="782"/>
      <c r="LO23" s="782"/>
      <c r="LP23" s="782"/>
      <c r="LQ23" s="782"/>
      <c r="LR23" s="782"/>
      <c r="LS23" s="782"/>
      <c r="LT23" s="782"/>
      <c r="LU23" s="782"/>
      <c r="LV23" s="782"/>
      <c r="LW23" s="782"/>
      <c r="LX23" s="782"/>
      <c r="LY23" s="782"/>
      <c r="LZ23" s="782"/>
      <c r="MA23" s="782"/>
      <c r="MB23" s="782"/>
      <c r="MC23" s="782"/>
      <c r="MD23" s="782"/>
      <c r="ME23" s="782"/>
      <c r="MF23" s="782"/>
      <c r="MG23" s="782"/>
      <c r="MH23" s="782"/>
      <c r="MI23" s="782"/>
      <c r="MJ23" s="782"/>
      <c r="MK23" s="782"/>
      <c r="ML23" s="782"/>
      <c r="MM23" s="782"/>
      <c r="MN23" s="782"/>
      <c r="MO23" s="782"/>
      <c r="MP23" s="782"/>
      <c r="MQ23" s="782"/>
      <c r="MR23" s="782"/>
      <c r="MS23" s="782"/>
      <c r="MT23" s="782"/>
      <c r="MU23" s="782"/>
      <c r="MV23" s="782"/>
      <c r="MW23" s="782"/>
      <c r="MX23" s="782"/>
      <c r="MY23" s="782"/>
      <c r="MZ23" s="782"/>
      <c r="NA23" s="782"/>
      <c r="NB23" s="782"/>
      <c r="NC23" s="782"/>
      <c r="ND23" s="782"/>
      <c r="NE23" s="782"/>
      <c r="NF23" s="782"/>
      <c r="NG23" s="782"/>
      <c r="NH23" s="782"/>
      <c r="NI23" s="782"/>
      <c r="NJ23" s="782"/>
      <c r="NK23" s="782"/>
      <c r="NL23" s="782"/>
      <c r="NM23" s="782"/>
      <c r="NN23" s="782"/>
      <c r="NO23" s="782"/>
      <c r="NP23" s="782"/>
      <c r="NQ23" s="782"/>
      <c r="NR23" s="782"/>
      <c r="NS23" s="782"/>
      <c r="NT23" s="782"/>
      <c r="NU23" s="782"/>
      <c r="NV23" s="782"/>
      <c r="NW23" s="782"/>
      <c r="NX23" s="782"/>
      <c r="NY23" s="782"/>
      <c r="NZ23" s="782"/>
      <c r="OA23" s="782"/>
      <c r="OB23" s="782"/>
      <c r="OC23" s="782"/>
      <c r="OD23" s="782"/>
      <c r="OE23" s="782"/>
      <c r="OF23" s="782"/>
      <c r="OG23" s="782"/>
      <c r="OH23" s="782"/>
      <c r="OI23" s="782"/>
      <c r="OJ23" s="782"/>
      <c r="OK23" s="782"/>
      <c r="OL23" s="782"/>
      <c r="OM23" s="782"/>
      <c r="ON23" s="782"/>
      <c r="OO23" s="782"/>
      <c r="OP23" s="782"/>
      <c r="OQ23" s="782"/>
      <c r="OR23" s="782"/>
      <c r="OS23" s="782"/>
      <c r="OT23" s="782"/>
      <c r="OU23" s="782"/>
      <c r="OV23" s="782"/>
      <c r="OW23" s="782"/>
      <c r="OX23" s="782"/>
      <c r="OY23" s="782"/>
      <c r="OZ23" s="782"/>
      <c r="PA23" s="782"/>
      <c r="PB23" s="782"/>
      <c r="PC23" s="782"/>
      <c r="PD23" s="782"/>
      <c r="PE23" s="782"/>
      <c r="PF23" s="782"/>
      <c r="PG23" s="782"/>
      <c r="PH23" s="782"/>
      <c r="PI23" s="782"/>
      <c r="PJ23" s="782"/>
      <c r="PK23" s="782"/>
      <c r="PL23" s="782"/>
      <c r="PM23" s="782"/>
      <c r="PN23" s="782"/>
      <c r="PO23" s="782"/>
    </row>
    <row r="24" spans="1:431" s="143" customFormat="1">
      <c r="A24" s="782"/>
      <c r="B24" s="782"/>
      <c r="C24" s="785"/>
      <c r="D24" s="785"/>
      <c r="E24" s="785"/>
      <c r="F24" s="785"/>
      <c r="G24" s="785"/>
      <c r="H24" s="785"/>
      <c r="I24" s="785"/>
      <c r="J24" s="785"/>
      <c r="K24" s="785"/>
      <c r="L24" s="785"/>
      <c r="M24" s="782"/>
      <c r="N24" s="782"/>
      <c r="O24" s="782"/>
      <c r="P24" s="782"/>
      <c r="Q24" s="782"/>
      <c r="R24" s="782"/>
      <c r="S24" s="782"/>
      <c r="T24" s="782"/>
      <c r="U24" s="782"/>
      <c r="V24" s="782"/>
      <c r="W24" s="782"/>
      <c r="X24" s="782"/>
      <c r="Y24" s="782"/>
      <c r="Z24" s="782"/>
      <c r="AA24" s="782"/>
      <c r="AB24" s="782"/>
      <c r="AC24" s="782"/>
      <c r="AD24" s="782"/>
      <c r="AE24" s="782"/>
      <c r="AF24" s="782"/>
      <c r="AG24" s="782"/>
      <c r="AH24" s="782"/>
      <c r="AI24" s="782"/>
      <c r="AJ24" s="782"/>
      <c r="AK24" s="782"/>
      <c r="AL24" s="782"/>
      <c r="AM24" s="782"/>
      <c r="AN24" s="782"/>
      <c r="AO24" s="782"/>
      <c r="AP24" s="782"/>
      <c r="AQ24" s="782"/>
      <c r="AR24" s="782"/>
      <c r="AS24" s="782"/>
      <c r="AT24" s="782"/>
      <c r="AU24" s="782"/>
      <c r="AV24" s="782"/>
      <c r="AW24" s="782"/>
      <c r="AX24" s="782"/>
      <c r="AY24" s="782"/>
      <c r="AZ24" s="782"/>
      <c r="BA24" s="782"/>
      <c r="BB24" s="782"/>
      <c r="BC24" s="782"/>
      <c r="BD24" s="782"/>
      <c r="BE24" s="782"/>
      <c r="BF24" s="782"/>
      <c r="BG24" s="782"/>
      <c r="BH24" s="782"/>
      <c r="BI24" s="782"/>
      <c r="BJ24" s="782"/>
      <c r="BK24" s="782"/>
      <c r="BL24" s="782"/>
      <c r="BM24" s="782"/>
      <c r="BN24" s="782"/>
      <c r="BO24" s="782"/>
      <c r="BP24" s="782"/>
      <c r="BQ24" s="782"/>
      <c r="BR24" s="782"/>
      <c r="BS24" s="782"/>
      <c r="BT24" s="782"/>
      <c r="BU24" s="782"/>
      <c r="BV24" s="782"/>
      <c r="BW24" s="782"/>
      <c r="BX24" s="782"/>
      <c r="BY24" s="782"/>
      <c r="BZ24" s="782"/>
      <c r="CA24" s="782"/>
      <c r="CB24" s="782"/>
      <c r="CC24" s="782"/>
      <c r="CD24" s="782"/>
      <c r="CE24" s="782"/>
      <c r="CF24" s="782"/>
      <c r="CG24" s="782"/>
      <c r="CH24" s="782"/>
      <c r="CI24" s="782"/>
      <c r="CJ24" s="782"/>
      <c r="CK24" s="782"/>
      <c r="CL24" s="782"/>
      <c r="CM24" s="782"/>
      <c r="CN24" s="782"/>
      <c r="CO24" s="782"/>
      <c r="CP24" s="782"/>
      <c r="CQ24" s="782"/>
      <c r="CR24" s="782"/>
      <c r="CS24" s="782"/>
      <c r="CT24" s="782"/>
      <c r="CU24" s="782"/>
      <c r="CV24" s="782"/>
      <c r="CW24" s="782"/>
      <c r="CX24" s="782"/>
      <c r="CY24" s="782"/>
      <c r="CZ24" s="782"/>
      <c r="DA24" s="782"/>
      <c r="DB24" s="782"/>
      <c r="DC24" s="782"/>
      <c r="DD24" s="782"/>
      <c r="DE24" s="782"/>
      <c r="DF24" s="782"/>
      <c r="DG24" s="782"/>
      <c r="DH24" s="782"/>
      <c r="DI24" s="782"/>
      <c r="DJ24" s="782"/>
      <c r="DK24" s="782"/>
      <c r="DL24" s="782"/>
      <c r="DM24" s="782"/>
      <c r="DN24" s="782"/>
      <c r="DO24" s="782"/>
      <c r="DP24" s="782"/>
      <c r="DQ24" s="782"/>
      <c r="DR24" s="782"/>
      <c r="DS24" s="782"/>
      <c r="DT24" s="782"/>
      <c r="DU24" s="782"/>
      <c r="DV24" s="782"/>
      <c r="DW24" s="782"/>
      <c r="DX24" s="782"/>
      <c r="DY24" s="782"/>
      <c r="DZ24" s="782"/>
      <c r="EA24" s="782"/>
      <c r="EB24" s="782"/>
      <c r="EC24" s="782"/>
      <c r="ED24" s="782"/>
      <c r="EE24" s="782"/>
      <c r="EF24" s="782"/>
      <c r="EG24" s="782"/>
      <c r="EH24" s="782"/>
      <c r="EI24" s="782"/>
      <c r="EJ24" s="782"/>
      <c r="EK24" s="782"/>
      <c r="EL24" s="782"/>
      <c r="EM24" s="782"/>
      <c r="EN24" s="782"/>
      <c r="EO24" s="782"/>
      <c r="EP24" s="782"/>
      <c r="EQ24" s="782"/>
      <c r="ER24" s="782"/>
      <c r="ES24" s="782"/>
      <c r="ET24" s="782"/>
      <c r="EU24" s="782"/>
      <c r="EV24" s="782"/>
      <c r="EW24" s="782"/>
      <c r="EX24" s="782"/>
      <c r="EY24" s="782"/>
      <c r="EZ24" s="782"/>
      <c r="FA24" s="782"/>
      <c r="FB24" s="782"/>
      <c r="FC24" s="782"/>
      <c r="FD24" s="782"/>
      <c r="FE24" s="782"/>
      <c r="FF24" s="782"/>
      <c r="FG24" s="782"/>
      <c r="FH24" s="782"/>
      <c r="FI24" s="782"/>
      <c r="FJ24" s="782"/>
      <c r="FK24" s="782"/>
      <c r="FL24" s="782"/>
      <c r="FM24" s="782"/>
      <c r="FN24" s="782"/>
      <c r="FO24" s="782"/>
      <c r="FP24" s="782"/>
      <c r="FQ24" s="782"/>
      <c r="FR24" s="782"/>
      <c r="FS24" s="782"/>
      <c r="FT24" s="782"/>
      <c r="FU24" s="782"/>
      <c r="FV24" s="782"/>
      <c r="FW24" s="782"/>
      <c r="FX24" s="782"/>
      <c r="FY24" s="782"/>
      <c r="FZ24" s="782"/>
      <c r="GA24" s="782"/>
      <c r="GB24" s="782"/>
      <c r="GC24" s="782"/>
      <c r="GD24" s="782"/>
      <c r="GE24" s="782"/>
      <c r="GF24" s="782"/>
      <c r="GG24" s="782"/>
      <c r="GH24" s="782"/>
      <c r="GI24" s="782"/>
      <c r="GJ24" s="782"/>
      <c r="GK24" s="782"/>
      <c r="GL24" s="782"/>
      <c r="GM24" s="782"/>
      <c r="GN24" s="782"/>
      <c r="GO24" s="782"/>
      <c r="GP24" s="782"/>
      <c r="GQ24" s="782"/>
      <c r="GR24" s="782"/>
      <c r="GS24" s="782"/>
      <c r="GT24" s="782"/>
      <c r="GU24" s="782"/>
      <c r="GV24" s="782"/>
      <c r="GW24" s="782"/>
      <c r="GX24" s="782"/>
      <c r="GY24" s="782"/>
      <c r="GZ24" s="782"/>
      <c r="HA24" s="782"/>
      <c r="HB24" s="782"/>
      <c r="HC24" s="782"/>
      <c r="HD24" s="782"/>
      <c r="HE24" s="782"/>
      <c r="HF24" s="782"/>
      <c r="HG24" s="782"/>
      <c r="HH24" s="782"/>
      <c r="HI24" s="782"/>
      <c r="HJ24" s="782"/>
      <c r="HK24" s="782"/>
      <c r="HL24" s="782"/>
      <c r="HM24" s="782"/>
      <c r="HN24" s="782"/>
      <c r="HO24" s="782"/>
      <c r="HP24" s="782"/>
      <c r="HQ24" s="782"/>
      <c r="HR24" s="782"/>
      <c r="HS24" s="782"/>
      <c r="HT24" s="782"/>
      <c r="HU24" s="782"/>
      <c r="HV24" s="782"/>
      <c r="HW24" s="782"/>
      <c r="HX24" s="782"/>
      <c r="HY24" s="782"/>
      <c r="HZ24" s="782"/>
      <c r="IA24" s="782"/>
      <c r="IB24" s="782"/>
      <c r="IC24" s="782"/>
      <c r="ID24" s="782"/>
      <c r="IE24" s="782"/>
      <c r="IF24" s="782"/>
      <c r="IG24" s="782"/>
      <c r="IH24" s="782"/>
      <c r="II24" s="782"/>
      <c r="IJ24" s="782"/>
      <c r="IK24" s="782"/>
      <c r="IL24" s="782"/>
      <c r="IM24" s="782"/>
      <c r="IN24" s="782"/>
      <c r="IO24" s="782"/>
      <c r="IP24" s="782"/>
      <c r="IQ24" s="782"/>
      <c r="IR24" s="782"/>
      <c r="IS24" s="782"/>
      <c r="IT24" s="782"/>
      <c r="IU24" s="782"/>
      <c r="IV24" s="782"/>
      <c r="IW24" s="782"/>
      <c r="IX24" s="782"/>
      <c r="IY24" s="782"/>
      <c r="IZ24" s="782"/>
      <c r="JA24" s="782"/>
      <c r="JB24" s="782"/>
      <c r="JC24" s="782"/>
      <c r="JD24" s="782"/>
      <c r="JE24" s="782"/>
      <c r="JF24" s="782"/>
      <c r="JG24" s="782"/>
      <c r="JH24" s="782"/>
      <c r="JI24" s="782"/>
      <c r="JJ24" s="782"/>
      <c r="JK24" s="782"/>
      <c r="JL24" s="782"/>
      <c r="JM24" s="782"/>
      <c r="JN24" s="782"/>
      <c r="JO24" s="782"/>
      <c r="JP24" s="782"/>
      <c r="JQ24" s="782"/>
      <c r="JR24" s="782"/>
      <c r="JS24" s="782"/>
      <c r="JT24" s="782"/>
      <c r="JU24" s="782"/>
      <c r="JV24" s="782"/>
      <c r="JW24" s="782"/>
      <c r="JX24" s="782"/>
      <c r="JY24" s="782"/>
      <c r="JZ24" s="782"/>
      <c r="KA24" s="782"/>
      <c r="KB24" s="782"/>
      <c r="KC24" s="782"/>
      <c r="KD24" s="782"/>
      <c r="KE24" s="782"/>
      <c r="KF24" s="782"/>
      <c r="KG24" s="782"/>
      <c r="KH24" s="782"/>
      <c r="KI24" s="782"/>
      <c r="KJ24" s="782"/>
      <c r="KK24" s="782"/>
      <c r="KL24" s="782"/>
      <c r="KM24" s="782"/>
      <c r="KN24" s="782"/>
      <c r="KO24" s="782"/>
      <c r="KP24" s="782"/>
      <c r="KQ24" s="782"/>
      <c r="KR24" s="782"/>
      <c r="KS24" s="782"/>
      <c r="KT24" s="782"/>
      <c r="KU24" s="782"/>
      <c r="KV24" s="782"/>
      <c r="KW24" s="782"/>
      <c r="KX24" s="782"/>
      <c r="KY24" s="782"/>
      <c r="KZ24" s="782"/>
      <c r="LA24" s="782"/>
      <c r="LB24" s="782"/>
      <c r="LC24" s="782"/>
      <c r="LD24" s="782"/>
      <c r="LE24" s="782"/>
      <c r="LF24" s="782"/>
      <c r="LG24" s="782"/>
      <c r="LH24" s="782"/>
      <c r="LI24" s="782"/>
      <c r="LJ24" s="782"/>
      <c r="LK24" s="782"/>
      <c r="LL24" s="782"/>
      <c r="LM24" s="782"/>
      <c r="LN24" s="782"/>
      <c r="LO24" s="782"/>
      <c r="LP24" s="782"/>
      <c r="LQ24" s="782"/>
      <c r="LR24" s="782"/>
      <c r="LS24" s="782"/>
      <c r="LT24" s="782"/>
      <c r="LU24" s="782"/>
      <c r="LV24" s="782"/>
      <c r="LW24" s="782"/>
      <c r="LX24" s="782"/>
      <c r="LY24" s="782"/>
      <c r="LZ24" s="782"/>
      <c r="MA24" s="782"/>
      <c r="MB24" s="782"/>
      <c r="MC24" s="782"/>
      <c r="MD24" s="782"/>
      <c r="ME24" s="782"/>
      <c r="MF24" s="782"/>
      <c r="MG24" s="782"/>
      <c r="MH24" s="782"/>
      <c r="MI24" s="782"/>
      <c r="MJ24" s="782"/>
      <c r="MK24" s="782"/>
      <c r="ML24" s="782"/>
      <c r="MM24" s="782"/>
      <c r="MN24" s="782"/>
      <c r="MO24" s="782"/>
      <c r="MP24" s="782"/>
      <c r="MQ24" s="782"/>
      <c r="MR24" s="782"/>
      <c r="MS24" s="782"/>
      <c r="MT24" s="782"/>
      <c r="MU24" s="782"/>
      <c r="MV24" s="782"/>
      <c r="MW24" s="782"/>
      <c r="MX24" s="782"/>
      <c r="MY24" s="782"/>
      <c r="MZ24" s="782"/>
      <c r="NA24" s="782"/>
      <c r="NB24" s="782"/>
      <c r="NC24" s="782"/>
      <c r="ND24" s="782"/>
      <c r="NE24" s="782"/>
      <c r="NF24" s="782"/>
      <c r="NG24" s="782"/>
      <c r="NH24" s="782"/>
      <c r="NI24" s="782"/>
      <c r="NJ24" s="782"/>
      <c r="NK24" s="782"/>
      <c r="NL24" s="782"/>
      <c r="NM24" s="782"/>
      <c r="NN24" s="782"/>
      <c r="NO24" s="782"/>
      <c r="NP24" s="782"/>
      <c r="NQ24" s="782"/>
      <c r="NR24" s="782"/>
      <c r="NS24" s="782"/>
      <c r="NT24" s="782"/>
      <c r="NU24" s="782"/>
      <c r="NV24" s="782"/>
      <c r="NW24" s="782"/>
      <c r="NX24" s="782"/>
      <c r="NY24" s="782"/>
      <c r="NZ24" s="782"/>
      <c r="OA24" s="782"/>
      <c r="OB24" s="782"/>
      <c r="OC24" s="782"/>
      <c r="OD24" s="782"/>
      <c r="OE24" s="782"/>
      <c r="OF24" s="782"/>
      <c r="OG24" s="782"/>
      <c r="OH24" s="782"/>
      <c r="OI24" s="782"/>
      <c r="OJ24" s="782"/>
      <c r="OK24" s="782"/>
      <c r="OL24" s="782"/>
      <c r="OM24" s="782"/>
      <c r="ON24" s="782"/>
      <c r="OO24" s="782"/>
      <c r="OP24" s="782"/>
      <c r="OQ24" s="782"/>
      <c r="OR24" s="782"/>
      <c r="OS24" s="782"/>
      <c r="OT24" s="782"/>
      <c r="OU24" s="782"/>
      <c r="OV24" s="782"/>
      <c r="OW24" s="782"/>
      <c r="OX24" s="782"/>
      <c r="OY24" s="782"/>
      <c r="OZ24" s="782"/>
      <c r="PA24" s="782"/>
      <c r="PB24" s="782"/>
      <c r="PC24" s="782"/>
      <c r="PD24" s="782"/>
      <c r="PE24" s="782"/>
      <c r="PF24" s="782"/>
      <c r="PG24" s="782"/>
      <c r="PH24" s="782"/>
      <c r="PI24" s="782"/>
      <c r="PJ24" s="782"/>
      <c r="PK24" s="782"/>
      <c r="PL24" s="782"/>
      <c r="PM24" s="782"/>
      <c r="PN24" s="782"/>
      <c r="PO24" s="782"/>
    </row>
    <row r="25" spans="1:431" s="143" customFormat="1">
      <c r="A25" s="782"/>
      <c r="B25" s="782"/>
      <c r="C25" s="785"/>
      <c r="D25" s="785"/>
      <c r="E25" s="785"/>
      <c r="F25" s="785"/>
      <c r="G25" s="785"/>
      <c r="H25" s="785"/>
      <c r="I25" s="785"/>
      <c r="J25" s="785"/>
      <c r="K25" s="785"/>
      <c r="L25" s="785"/>
      <c r="M25" s="782"/>
      <c r="N25" s="782"/>
      <c r="O25" s="782"/>
      <c r="P25" s="782"/>
      <c r="Q25" s="782"/>
      <c r="R25" s="782"/>
      <c r="S25" s="782"/>
      <c r="T25" s="782"/>
      <c r="U25" s="782"/>
      <c r="V25" s="782"/>
      <c r="W25" s="782"/>
      <c r="X25" s="782"/>
      <c r="Y25" s="782"/>
      <c r="Z25" s="782"/>
      <c r="AA25" s="782"/>
      <c r="AB25" s="782"/>
      <c r="AC25" s="782"/>
      <c r="AD25" s="782"/>
      <c r="AE25" s="782"/>
      <c r="AF25" s="782"/>
      <c r="AG25" s="782"/>
      <c r="AH25" s="782"/>
      <c r="AI25" s="782"/>
      <c r="AJ25" s="782"/>
      <c r="AK25" s="782"/>
      <c r="AL25" s="782"/>
      <c r="AM25" s="782"/>
      <c r="AN25" s="782"/>
      <c r="AO25" s="782"/>
      <c r="AP25" s="782"/>
      <c r="AQ25" s="782"/>
      <c r="AR25" s="782"/>
      <c r="AS25" s="782"/>
      <c r="AT25" s="782"/>
      <c r="AU25" s="782"/>
      <c r="AV25" s="782"/>
      <c r="AW25" s="782"/>
      <c r="AX25" s="782"/>
      <c r="AY25" s="782"/>
      <c r="AZ25" s="782"/>
      <c r="BA25" s="782"/>
      <c r="BB25" s="782"/>
      <c r="BC25" s="782"/>
      <c r="BD25" s="782"/>
      <c r="BE25" s="782"/>
      <c r="BF25" s="782"/>
      <c r="BG25" s="782"/>
      <c r="BH25" s="782"/>
      <c r="BI25" s="782"/>
      <c r="BJ25" s="782"/>
      <c r="BK25" s="782"/>
      <c r="BL25" s="782"/>
      <c r="BM25" s="782"/>
      <c r="BN25" s="782"/>
      <c r="BO25" s="782"/>
      <c r="BP25" s="782"/>
      <c r="BQ25" s="782"/>
      <c r="BR25" s="782"/>
      <c r="BS25" s="782"/>
      <c r="BT25" s="782"/>
      <c r="BU25" s="782"/>
      <c r="BV25" s="782"/>
      <c r="BW25" s="782"/>
      <c r="BX25" s="782"/>
      <c r="BY25" s="782"/>
      <c r="BZ25" s="782"/>
      <c r="CA25" s="782"/>
      <c r="CB25" s="782"/>
      <c r="CC25" s="782"/>
      <c r="CD25" s="782"/>
      <c r="CE25" s="782"/>
      <c r="CF25" s="782"/>
      <c r="CG25" s="782"/>
      <c r="CH25" s="782"/>
      <c r="CI25" s="782"/>
      <c r="CJ25" s="782"/>
      <c r="CK25" s="782"/>
      <c r="CL25" s="782"/>
      <c r="CM25" s="782"/>
      <c r="CN25" s="782"/>
      <c r="CO25" s="782"/>
      <c r="CP25" s="782"/>
      <c r="CQ25" s="782"/>
      <c r="CR25" s="782"/>
      <c r="CS25" s="782"/>
      <c r="CT25" s="782"/>
      <c r="CU25" s="782"/>
      <c r="CV25" s="782"/>
      <c r="CW25" s="782"/>
      <c r="CX25" s="782"/>
      <c r="CY25" s="782"/>
      <c r="CZ25" s="782"/>
      <c r="DA25" s="782"/>
      <c r="DB25" s="782"/>
      <c r="DC25" s="782"/>
      <c r="DD25" s="782"/>
      <c r="DE25" s="782"/>
      <c r="DF25" s="782"/>
      <c r="DG25" s="782"/>
      <c r="DH25" s="782"/>
      <c r="DI25" s="782"/>
      <c r="DJ25" s="782"/>
      <c r="DK25" s="782"/>
      <c r="DL25" s="782"/>
      <c r="DM25" s="782"/>
      <c r="DN25" s="782"/>
      <c r="DO25" s="782"/>
      <c r="DP25" s="782"/>
      <c r="DQ25" s="782"/>
      <c r="DR25" s="782"/>
      <c r="DS25" s="782"/>
      <c r="DT25" s="782"/>
      <c r="DU25" s="782"/>
      <c r="DV25" s="782"/>
      <c r="DW25" s="782"/>
      <c r="DX25" s="782"/>
      <c r="DY25" s="782"/>
      <c r="DZ25" s="782"/>
      <c r="EA25" s="782"/>
      <c r="EB25" s="782"/>
      <c r="EC25" s="782"/>
      <c r="ED25" s="782"/>
      <c r="EE25" s="782"/>
      <c r="EF25" s="782"/>
      <c r="EG25" s="782"/>
      <c r="EH25" s="782"/>
      <c r="EI25" s="782"/>
      <c r="EJ25" s="782"/>
      <c r="EK25" s="782"/>
      <c r="EL25" s="782"/>
      <c r="EM25" s="782"/>
      <c r="EN25" s="782"/>
      <c r="EO25" s="782"/>
      <c r="EP25" s="782"/>
      <c r="EQ25" s="782"/>
      <c r="ER25" s="782"/>
      <c r="ES25" s="782"/>
      <c r="ET25" s="782"/>
      <c r="EU25" s="782"/>
      <c r="EV25" s="782"/>
      <c r="EW25" s="782"/>
      <c r="EX25" s="782"/>
      <c r="EY25" s="782"/>
      <c r="EZ25" s="782"/>
      <c r="FA25" s="782"/>
      <c r="FB25" s="782"/>
      <c r="FC25" s="782"/>
      <c r="FD25" s="782"/>
      <c r="FE25" s="782"/>
      <c r="FF25" s="782"/>
      <c r="FG25" s="782"/>
      <c r="FH25" s="782"/>
      <c r="FI25" s="782"/>
      <c r="FJ25" s="782"/>
      <c r="FK25" s="782"/>
      <c r="FL25" s="782"/>
      <c r="FM25" s="782"/>
      <c r="FN25" s="782"/>
      <c r="FO25" s="782"/>
      <c r="FP25" s="782"/>
      <c r="FQ25" s="782"/>
      <c r="FR25" s="782"/>
      <c r="FS25" s="782"/>
      <c r="FT25" s="782"/>
      <c r="FU25" s="782"/>
      <c r="FV25" s="782"/>
      <c r="FW25" s="782"/>
      <c r="FX25" s="782"/>
      <c r="FY25" s="782"/>
      <c r="FZ25" s="782"/>
      <c r="GA25" s="782"/>
      <c r="GB25" s="782"/>
      <c r="GC25" s="782"/>
      <c r="GD25" s="782"/>
      <c r="GE25" s="782"/>
      <c r="GF25" s="782"/>
      <c r="GG25" s="782"/>
      <c r="GH25" s="782"/>
      <c r="GI25" s="782"/>
      <c r="GJ25" s="782"/>
      <c r="GK25" s="782"/>
      <c r="GL25" s="782"/>
      <c r="GM25" s="782"/>
      <c r="GN25" s="782"/>
      <c r="GO25" s="782"/>
      <c r="GP25" s="782"/>
      <c r="GQ25" s="782"/>
      <c r="GR25" s="782"/>
      <c r="GS25" s="782"/>
      <c r="GT25" s="782"/>
      <c r="GU25" s="782"/>
      <c r="GV25" s="782"/>
      <c r="GW25" s="782"/>
      <c r="GX25" s="782"/>
      <c r="GY25" s="782"/>
      <c r="GZ25" s="782"/>
      <c r="HA25" s="782"/>
      <c r="HB25" s="782"/>
      <c r="HC25" s="782"/>
      <c r="HD25" s="782"/>
      <c r="HE25" s="782"/>
      <c r="HF25" s="782"/>
      <c r="HG25" s="782"/>
      <c r="HH25" s="782"/>
      <c r="HI25" s="782"/>
      <c r="HJ25" s="782"/>
      <c r="HK25" s="782"/>
      <c r="HL25" s="782"/>
      <c r="HM25" s="782"/>
      <c r="HN25" s="782"/>
      <c r="HO25" s="782"/>
      <c r="HP25" s="782"/>
      <c r="HQ25" s="782"/>
      <c r="HR25" s="782"/>
      <c r="HS25" s="782"/>
      <c r="HT25" s="782"/>
      <c r="HU25" s="782"/>
      <c r="HV25" s="782"/>
      <c r="HW25" s="782"/>
      <c r="HX25" s="782"/>
      <c r="HY25" s="782"/>
      <c r="HZ25" s="782"/>
      <c r="IA25" s="782"/>
      <c r="IB25" s="782"/>
      <c r="IC25" s="782"/>
      <c r="ID25" s="782"/>
      <c r="IE25" s="782"/>
      <c r="IF25" s="782"/>
      <c r="IG25" s="782"/>
      <c r="IH25" s="782"/>
      <c r="II25" s="782"/>
      <c r="IJ25" s="782"/>
      <c r="IK25" s="782"/>
      <c r="IL25" s="782"/>
      <c r="IM25" s="782"/>
      <c r="IN25" s="782"/>
      <c r="IO25" s="782"/>
      <c r="IP25" s="782"/>
      <c r="IQ25" s="782"/>
      <c r="IR25" s="782"/>
      <c r="IS25" s="782"/>
      <c r="IT25" s="782"/>
      <c r="IU25" s="782"/>
      <c r="IV25" s="782"/>
      <c r="IW25" s="782"/>
      <c r="IX25" s="782"/>
      <c r="IY25" s="782"/>
      <c r="IZ25" s="782"/>
      <c r="JA25" s="782"/>
      <c r="JB25" s="782"/>
      <c r="JC25" s="782"/>
      <c r="JD25" s="782"/>
      <c r="JE25" s="782"/>
      <c r="JF25" s="782"/>
      <c r="JG25" s="782"/>
      <c r="JH25" s="782"/>
      <c r="JI25" s="782"/>
      <c r="JJ25" s="782"/>
      <c r="JK25" s="782"/>
      <c r="JL25" s="782"/>
      <c r="JM25" s="782"/>
      <c r="JN25" s="782"/>
      <c r="JO25" s="782"/>
      <c r="JP25" s="782"/>
      <c r="JQ25" s="782"/>
      <c r="JR25" s="782"/>
      <c r="JS25" s="782"/>
      <c r="JT25" s="782"/>
      <c r="JU25" s="782"/>
      <c r="JV25" s="782"/>
      <c r="JW25" s="782"/>
      <c r="JX25" s="782"/>
      <c r="JY25" s="782"/>
      <c r="JZ25" s="782"/>
      <c r="KA25" s="782"/>
      <c r="KB25" s="782"/>
      <c r="KC25" s="782"/>
      <c r="KD25" s="782"/>
      <c r="KE25" s="782"/>
      <c r="KF25" s="782"/>
      <c r="KG25" s="782"/>
      <c r="KH25" s="782"/>
      <c r="KI25" s="782"/>
      <c r="KJ25" s="782"/>
      <c r="KK25" s="782"/>
      <c r="KL25" s="782"/>
      <c r="KM25" s="782"/>
      <c r="KN25" s="782"/>
      <c r="KO25" s="782"/>
      <c r="KP25" s="782"/>
      <c r="KQ25" s="782"/>
      <c r="KR25" s="782"/>
      <c r="KS25" s="782"/>
      <c r="KT25" s="782"/>
      <c r="KU25" s="782"/>
      <c r="KV25" s="782"/>
      <c r="KW25" s="782"/>
      <c r="KX25" s="782"/>
      <c r="KY25" s="782"/>
      <c r="KZ25" s="782"/>
      <c r="LA25" s="782"/>
      <c r="LB25" s="782"/>
      <c r="LC25" s="782"/>
      <c r="LD25" s="782"/>
      <c r="LE25" s="782"/>
      <c r="LF25" s="782"/>
      <c r="LG25" s="782"/>
      <c r="LH25" s="782"/>
      <c r="LI25" s="782"/>
      <c r="LJ25" s="782"/>
      <c r="LK25" s="782"/>
      <c r="LL25" s="782"/>
      <c r="LM25" s="782"/>
      <c r="LN25" s="782"/>
      <c r="LO25" s="782"/>
      <c r="LP25" s="782"/>
      <c r="LQ25" s="782"/>
      <c r="LR25" s="782"/>
      <c r="LS25" s="782"/>
      <c r="LT25" s="782"/>
      <c r="LU25" s="782"/>
      <c r="LV25" s="782"/>
      <c r="LW25" s="782"/>
      <c r="LX25" s="782"/>
      <c r="LY25" s="782"/>
      <c r="LZ25" s="782"/>
      <c r="MA25" s="782"/>
      <c r="MB25" s="782"/>
      <c r="MC25" s="782"/>
      <c r="MD25" s="782"/>
      <c r="ME25" s="782"/>
      <c r="MF25" s="782"/>
      <c r="MG25" s="782"/>
      <c r="MH25" s="782"/>
      <c r="MI25" s="782"/>
      <c r="MJ25" s="782"/>
      <c r="MK25" s="782"/>
      <c r="ML25" s="782"/>
      <c r="MM25" s="782"/>
      <c r="MN25" s="782"/>
      <c r="MO25" s="782"/>
      <c r="MP25" s="782"/>
      <c r="MQ25" s="782"/>
      <c r="MR25" s="782"/>
      <c r="MS25" s="782"/>
      <c r="MT25" s="782"/>
      <c r="MU25" s="782"/>
      <c r="MV25" s="782"/>
      <c r="MW25" s="782"/>
      <c r="MX25" s="782"/>
      <c r="MY25" s="782"/>
      <c r="MZ25" s="782"/>
      <c r="NA25" s="782"/>
      <c r="NB25" s="782"/>
      <c r="NC25" s="782"/>
      <c r="ND25" s="782"/>
      <c r="NE25" s="782"/>
      <c r="NF25" s="782"/>
      <c r="NG25" s="782"/>
      <c r="NH25" s="782"/>
      <c r="NI25" s="782"/>
      <c r="NJ25" s="782"/>
      <c r="NK25" s="782"/>
      <c r="NL25" s="782"/>
      <c r="NM25" s="782"/>
      <c r="NN25" s="782"/>
      <c r="NO25" s="782"/>
      <c r="NP25" s="782"/>
      <c r="NQ25" s="782"/>
      <c r="NR25" s="782"/>
      <c r="NS25" s="782"/>
      <c r="NT25" s="782"/>
      <c r="NU25" s="782"/>
      <c r="NV25" s="782"/>
      <c r="NW25" s="782"/>
      <c r="NX25" s="782"/>
      <c r="NY25" s="782"/>
      <c r="NZ25" s="782"/>
      <c r="OA25" s="782"/>
      <c r="OB25" s="782"/>
      <c r="OC25" s="782"/>
      <c r="OD25" s="782"/>
      <c r="OE25" s="782"/>
      <c r="OF25" s="782"/>
      <c r="OG25" s="782"/>
      <c r="OH25" s="782"/>
      <c r="OI25" s="782"/>
      <c r="OJ25" s="782"/>
      <c r="OK25" s="782"/>
      <c r="OL25" s="782"/>
      <c r="OM25" s="782"/>
      <c r="ON25" s="782"/>
      <c r="OO25" s="782"/>
      <c r="OP25" s="782"/>
      <c r="OQ25" s="782"/>
      <c r="OR25" s="782"/>
      <c r="OS25" s="782"/>
      <c r="OT25" s="782"/>
      <c r="OU25" s="782"/>
      <c r="OV25" s="782"/>
      <c r="OW25" s="782"/>
      <c r="OX25" s="782"/>
      <c r="OY25" s="782"/>
      <c r="OZ25" s="782"/>
      <c r="PA25" s="782"/>
      <c r="PB25" s="782"/>
      <c r="PC25" s="782"/>
      <c r="PD25" s="782"/>
      <c r="PE25" s="782"/>
      <c r="PF25" s="782"/>
      <c r="PG25" s="782"/>
      <c r="PH25" s="782"/>
      <c r="PI25" s="782"/>
      <c r="PJ25" s="782"/>
      <c r="PK25" s="782"/>
      <c r="PL25" s="782"/>
      <c r="PM25" s="782"/>
      <c r="PN25" s="782"/>
      <c r="PO25" s="782"/>
    </row>
    <row r="26" spans="1:431" s="143" customFormat="1">
      <c r="A26" s="782"/>
      <c r="B26" s="782"/>
      <c r="C26" s="785"/>
      <c r="D26" s="785"/>
      <c r="E26" s="785"/>
      <c r="F26" s="785"/>
      <c r="G26" s="785"/>
      <c r="H26" s="785"/>
      <c r="I26" s="785"/>
      <c r="J26" s="785"/>
      <c r="K26" s="785"/>
      <c r="L26" s="785"/>
      <c r="M26" s="782"/>
      <c r="N26" s="782"/>
      <c r="O26" s="782"/>
      <c r="P26" s="782"/>
      <c r="Q26" s="782"/>
      <c r="R26" s="782"/>
      <c r="S26" s="782"/>
      <c r="T26" s="782"/>
      <c r="U26" s="782"/>
      <c r="V26" s="782"/>
      <c r="W26" s="782"/>
      <c r="X26" s="782"/>
      <c r="Y26" s="782"/>
      <c r="Z26" s="782"/>
      <c r="AA26" s="782"/>
      <c r="AB26" s="782"/>
      <c r="AC26" s="782"/>
      <c r="AD26" s="782"/>
      <c r="AE26" s="782"/>
      <c r="AF26" s="782"/>
      <c r="AG26" s="782"/>
      <c r="AH26" s="782"/>
      <c r="AI26" s="782"/>
      <c r="AJ26" s="782"/>
      <c r="AK26" s="782"/>
      <c r="AL26" s="782"/>
      <c r="AM26" s="782"/>
      <c r="AN26" s="782"/>
      <c r="AO26" s="782"/>
      <c r="AP26" s="782"/>
      <c r="AQ26" s="782"/>
      <c r="AR26" s="782"/>
      <c r="AS26" s="782"/>
      <c r="AT26" s="782"/>
      <c r="AU26" s="782"/>
      <c r="AV26" s="782"/>
      <c r="AW26" s="782"/>
      <c r="AX26" s="782"/>
      <c r="AY26" s="782"/>
      <c r="AZ26" s="782"/>
      <c r="BA26" s="782"/>
      <c r="BB26" s="782"/>
      <c r="BC26" s="782"/>
      <c r="BD26" s="782"/>
      <c r="BE26" s="782"/>
      <c r="BF26" s="782"/>
      <c r="BG26" s="782"/>
      <c r="BH26" s="782"/>
      <c r="BI26" s="782"/>
      <c r="BJ26" s="782"/>
      <c r="BK26" s="782"/>
      <c r="BL26" s="782"/>
      <c r="BM26" s="782"/>
      <c r="BN26" s="782"/>
      <c r="BO26" s="782"/>
      <c r="BP26" s="782"/>
      <c r="BQ26" s="782"/>
      <c r="BR26" s="782"/>
      <c r="BS26" s="782"/>
      <c r="BT26" s="782"/>
      <c r="BU26" s="782"/>
      <c r="BV26" s="782"/>
      <c r="BW26" s="782"/>
      <c r="BX26" s="782"/>
      <c r="BY26" s="782"/>
      <c r="BZ26" s="782"/>
      <c r="CA26" s="782"/>
      <c r="CB26" s="782"/>
      <c r="CC26" s="782"/>
      <c r="CD26" s="782"/>
      <c r="CE26" s="782"/>
      <c r="CF26" s="782"/>
      <c r="CG26" s="782"/>
      <c r="CH26" s="782"/>
      <c r="CI26" s="782"/>
      <c r="CJ26" s="782"/>
      <c r="CK26" s="782"/>
      <c r="CL26" s="782"/>
      <c r="CM26" s="782"/>
      <c r="CN26" s="782"/>
      <c r="CO26" s="782"/>
      <c r="CP26" s="782"/>
      <c r="CQ26" s="782"/>
      <c r="CR26" s="782"/>
      <c r="CS26" s="782"/>
      <c r="CT26" s="782"/>
      <c r="CU26" s="782"/>
      <c r="CV26" s="782"/>
      <c r="CW26" s="782"/>
      <c r="CX26" s="782"/>
      <c r="CY26" s="782"/>
      <c r="CZ26" s="782"/>
      <c r="DA26" s="782"/>
      <c r="DB26" s="782"/>
      <c r="DC26" s="782"/>
      <c r="DD26" s="782"/>
      <c r="DE26" s="782"/>
      <c r="DF26" s="782"/>
      <c r="DG26" s="782"/>
      <c r="DH26" s="782"/>
      <c r="DI26" s="782"/>
      <c r="DJ26" s="782"/>
      <c r="DK26" s="782"/>
      <c r="DL26" s="782"/>
      <c r="DM26" s="782"/>
      <c r="DN26" s="782"/>
      <c r="DO26" s="782"/>
      <c r="DP26" s="782"/>
      <c r="DQ26" s="782"/>
      <c r="DR26" s="782"/>
      <c r="DS26" s="782"/>
      <c r="DT26" s="782"/>
      <c r="DU26" s="782"/>
      <c r="DV26" s="782"/>
      <c r="DW26" s="782"/>
      <c r="DX26" s="782"/>
      <c r="DY26" s="782"/>
      <c r="DZ26" s="782"/>
      <c r="EA26" s="782"/>
      <c r="EB26" s="782"/>
      <c r="EC26" s="782"/>
      <c r="ED26" s="782"/>
      <c r="EE26" s="782"/>
      <c r="EF26" s="782"/>
      <c r="EG26" s="782"/>
      <c r="EH26" s="782"/>
      <c r="EI26" s="782"/>
      <c r="EJ26" s="782"/>
      <c r="EK26" s="782"/>
      <c r="EL26" s="782"/>
      <c r="EM26" s="782"/>
      <c r="EN26" s="782"/>
      <c r="EO26" s="782"/>
      <c r="EP26" s="782"/>
      <c r="EQ26" s="782"/>
      <c r="ER26" s="782"/>
      <c r="ES26" s="782"/>
      <c r="ET26" s="782"/>
      <c r="EU26" s="782"/>
      <c r="EV26" s="782"/>
      <c r="EW26" s="782"/>
      <c r="EX26" s="782"/>
      <c r="EY26" s="782"/>
      <c r="EZ26" s="782"/>
      <c r="FA26" s="782"/>
      <c r="FB26" s="782"/>
      <c r="FC26" s="782"/>
      <c r="FD26" s="782"/>
      <c r="FE26" s="782"/>
      <c r="FF26" s="782"/>
      <c r="FG26" s="782"/>
      <c r="FH26" s="782"/>
      <c r="FI26" s="782"/>
      <c r="FJ26" s="782"/>
      <c r="FK26" s="782"/>
      <c r="FL26" s="782"/>
      <c r="FM26" s="782"/>
      <c r="FN26" s="782"/>
      <c r="FO26" s="782"/>
      <c r="FP26" s="782"/>
      <c r="FQ26" s="782"/>
      <c r="FR26" s="782"/>
      <c r="FS26" s="782"/>
      <c r="FT26" s="782"/>
      <c r="FU26" s="782"/>
      <c r="FV26" s="782"/>
      <c r="FW26" s="782"/>
      <c r="FX26" s="782"/>
      <c r="FY26" s="782"/>
      <c r="FZ26" s="782"/>
      <c r="GA26" s="782"/>
      <c r="GB26" s="782"/>
      <c r="GC26" s="782"/>
      <c r="GD26" s="782"/>
      <c r="GE26" s="782"/>
      <c r="GF26" s="782"/>
      <c r="GG26" s="782"/>
      <c r="GH26" s="782"/>
      <c r="GI26" s="782"/>
      <c r="GJ26" s="782"/>
      <c r="GK26" s="782"/>
      <c r="GL26" s="782"/>
      <c r="GM26" s="782"/>
      <c r="GN26" s="782"/>
      <c r="GO26" s="782"/>
      <c r="GP26" s="782"/>
      <c r="GQ26" s="782"/>
      <c r="GR26" s="782"/>
      <c r="GS26" s="782"/>
      <c r="GT26" s="782"/>
      <c r="GU26" s="782"/>
      <c r="GV26" s="782"/>
      <c r="GW26" s="782"/>
      <c r="GX26" s="782"/>
      <c r="GY26" s="782"/>
      <c r="GZ26" s="782"/>
      <c r="HA26" s="782"/>
      <c r="HB26" s="782"/>
      <c r="HC26" s="782"/>
      <c r="HD26" s="782"/>
      <c r="HE26" s="782"/>
      <c r="HF26" s="782"/>
      <c r="HG26" s="782"/>
      <c r="HH26" s="782"/>
      <c r="HI26" s="782"/>
      <c r="HJ26" s="782"/>
      <c r="HK26" s="782"/>
      <c r="HL26" s="782"/>
      <c r="HM26" s="782"/>
      <c r="HN26" s="782"/>
      <c r="HO26" s="782"/>
      <c r="HP26" s="782"/>
      <c r="HQ26" s="782"/>
      <c r="HR26" s="782"/>
      <c r="HS26" s="782"/>
      <c r="HT26" s="782"/>
      <c r="HU26" s="782"/>
      <c r="HV26" s="782"/>
      <c r="HW26" s="782"/>
      <c r="HX26" s="782"/>
      <c r="HY26" s="782"/>
      <c r="HZ26" s="782"/>
      <c r="IA26" s="782"/>
      <c r="IB26" s="782"/>
      <c r="IC26" s="782"/>
      <c r="ID26" s="782"/>
      <c r="IE26" s="782"/>
      <c r="IF26" s="782"/>
      <c r="IG26" s="782"/>
      <c r="IH26" s="782"/>
      <c r="II26" s="782"/>
      <c r="IJ26" s="782"/>
      <c r="IK26" s="782"/>
      <c r="IL26" s="782"/>
      <c r="IM26" s="782"/>
      <c r="IN26" s="782"/>
      <c r="IO26" s="782"/>
      <c r="IP26" s="782"/>
      <c r="IQ26" s="782"/>
      <c r="IR26" s="782"/>
      <c r="IS26" s="782"/>
      <c r="IT26" s="782"/>
      <c r="IU26" s="782"/>
      <c r="IV26" s="782"/>
      <c r="IW26" s="782"/>
      <c r="IX26" s="782"/>
      <c r="IY26" s="782"/>
      <c r="IZ26" s="782"/>
      <c r="JA26" s="782"/>
      <c r="JB26" s="782"/>
      <c r="JC26" s="782"/>
      <c r="JD26" s="782"/>
      <c r="JE26" s="782"/>
      <c r="JF26" s="782"/>
      <c r="JG26" s="782"/>
      <c r="JH26" s="782"/>
      <c r="JI26" s="782"/>
      <c r="JJ26" s="782"/>
      <c r="JK26" s="782"/>
      <c r="JL26" s="782"/>
      <c r="JM26" s="782"/>
      <c r="JN26" s="782"/>
      <c r="JO26" s="782"/>
      <c r="JP26" s="782"/>
      <c r="JQ26" s="782"/>
      <c r="JR26" s="782"/>
      <c r="JS26" s="782"/>
      <c r="JT26" s="782"/>
      <c r="JU26" s="782"/>
      <c r="JV26" s="782"/>
      <c r="JW26" s="782"/>
      <c r="JX26" s="782"/>
      <c r="JY26" s="782"/>
      <c r="JZ26" s="782"/>
      <c r="KA26" s="782"/>
      <c r="KB26" s="782"/>
      <c r="KC26" s="782"/>
      <c r="KD26" s="782"/>
      <c r="KE26" s="782"/>
      <c r="KF26" s="782"/>
      <c r="KG26" s="782"/>
      <c r="KH26" s="782"/>
      <c r="KI26" s="782"/>
      <c r="KJ26" s="782"/>
      <c r="KK26" s="782"/>
      <c r="KL26" s="782"/>
      <c r="KM26" s="782"/>
      <c r="KN26" s="782"/>
      <c r="KO26" s="782"/>
      <c r="KP26" s="782"/>
      <c r="KQ26" s="782"/>
      <c r="KR26" s="782"/>
      <c r="KS26" s="782"/>
      <c r="KT26" s="782"/>
      <c r="KU26" s="782"/>
      <c r="KV26" s="782"/>
      <c r="KW26" s="782"/>
      <c r="KX26" s="782"/>
      <c r="KY26" s="782"/>
      <c r="KZ26" s="782"/>
      <c r="LA26" s="782"/>
      <c r="LB26" s="782"/>
      <c r="LC26" s="782"/>
      <c r="LD26" s="782"/>
      <c r="LE26" s="782"/>
      <c r="LF26" s="782"/>
      <c r="LG26" s="782"/>
      <c r="LH26" s="782"/>
      <c r="LI26" s="782"/>
      <c r="LJ26" s="782"/>
      <c r="LK26" s="782"/>
      <c r="LL26" s="782"/>
      <c r="LM26" s="782"/>
      <c r="LN26" s="782"/>
      <c r="LO26" s="782"/>
      <c r="LP26" s="782"/>
      <c r="LQ26" s="782"/>
      <c r="LR26" s="782"/>
      <c r="LS26" s="782"/>
      <c r="LT26" s="782"/>
      <c r="LU26" s="782"/>
      <c r="LV26" s="782"/>
      <c r="LW26" s="782"/>
      <c r="LX26" s="782"/>
      <c r="LY26" s="782"/>
      <c r="LZ26" s="782"/>
      <c r="MA26" s="782"/>
      <c r="MB26" s="782"/>
      <c r="MC26" s="782"/>
      <c r="MD26" s="782"/>
      <c r="ME26" s="782"/>
      <c r="MF26" s="782"/>
      <c r="MG26" s="782"/>
      <c r="MH26" s="782"/>
      <c r="MI26" s="782"/>
      <c r="MJ26" s="782"/>
      <c r="MK26" s="782"/>
      <c r="ML26" s="782"/>
      <c r="MM26" s="782"/>
      <c r="MN26" s="782"/>
      <c r="MO26" s="782"/>
      <c r="MP26" s="782"/>
      <c r="MQ26" s="782"/>
      <c r="MR26" s="782"/>
      <c r="MS26" s="782"/>
      <c r="MT26" s="782"/>
      <c r="MU26" s="782"/>
      <c r="MV26" s="782"/>
      <c r="MW26" s="782"/>
      <c r="MX26" s="782"/>
      <c r="MY26" s="782"/>
      <c r="MZ26" s="782"/>
      <c r="NA26" s="782"/>
      <c r="NB26" s="782"/>
      <c r="NC26" s="782"/>
      <c r="ND26" s="782"/>
      <c r="NE26" s="782"/>
      <c r="NF26" s="782"/>
      <c r="NG26" s="782"/>
      <c r="NH26" s="782"/>
      <c r="NI26" s="782"/>
      <c r="NJ26" s="782"/>
      <c r="NK26" s="782"/>
      <c r="NL26" s="782"/>
      <c r="NM26" s="782"/>
      <c r="NN26" s="782"/>
      <c r="NO26" s="782"/>
      <c r="NP26" s="782"/>
      <c r="NQ26" s="782"/>
      <c r="NR26" s="782"/>
      <c r="NS26" s="782"/>
      <c r="NT26" s="782"/>
      <c r="NU26" s="782"/>
      <c r="NV26" s="782"/>
      <c r="NW26" s="782"/>
      <c r="NX26" s="782"/>
      <c r="NY26" s="782"/>
      <c r="NZ26" s="782"/>
      <c r="OA26" s="782"/>
      <c r="OB26" s="782"/>
      <c r="OC26" s="782"/>
      <c r="OD26" s="782"/>
      <c r="OE26" s="782"/>
      <c r="OF26" s="782"/>
      <c r="OG26" s="782"/>
      <c r="OH26" s="782"/>
      <c r="OI26" s="782"/>
      <c r="OJ26" s="782"/>
      <c r="OK26" s="782"/>
      <c r="OL26" s="782"/>
      <c r="OM26" s="782"/>
      <c r="ON26" s="782"/>
      <c r="OO26" s="782"/>
      <c r="OP26" s="782"/>
      <c r="OQ26" s="782"/>
      <c r="OR26" s="782"/>
      <c r="OS26" s="782"/>
      <c r="OT26" s="782"/>
      <c r="OU26" s="782"/>
      <c r="OV26" s="782"/>
      <c r="OW26" s="782"/>
      <c r="OX26" s="782"/>
      <c r="OY26" s="782"/>
      <c r="OZ26" s="782"/>
      <c r="PA26" s="782"/>
      <c r="PB26" s="782"/>
      <c r="PC26" s="782"/>
      <c r="PD26" s="782"/>
      <c r="PE26" s="782"/>
      <c r="PF26" s="782"/>
      <c r="PG26" s="782"/>
      <c r="PH26" s="782"/>
      <c r="PI26" s="782"/>
      <c r="PJ26" s="782"/>
      <c r="PK26" s="782"/>
      <c r="PL26" s="782"/>
      <c r="PM26" s="782"/>
      <c r="PN26" s="782"/>
      <c r="PO26" s="782"/>
    </row>
    <row r="27" spans="1:431" s="143" customFormat="1">
      <c r="A27" s="782"/>
      <c r="B27" s="782"/>
      <c r="C27" s="785"/>
      <c r="D27" s="785"/>
      <c r="E27" s="785"/>
      <c r="F27" s="785"/>
      <c r="G27" s="785"/>
      <c r="H27" s="785"/>
      <c r="I27" s="785"/>
      <c r="J27" s="785"/>
      <c r="K27" s="785"/>
      <c r="L27" s="785"/>
      <c r="M27" s="782"/>
      <c r="N27" s="782"/>
      <c r="O27" s="782"/>
      <c r="P27" s="782"/>
      <c r="Q27" s="782"/>
      <c r="R27" s="782"/>
      <c r="S27" s="782"/>
      <c r="T27" s="782"/>
      <c r="U27" s="782"/>
      <c r="V27" s="782"/>
      <c r="W27" s="782"/>
      <c r="X27" s="782"/>
      <c r="Y27" s="782"/>
      <c r="Z27" s="782"/>
      <c r="AA27" s="782"/>
      <c r="AB27" s="782"/>
      <c r="AC27" s="782"/>
      <c r="AD27" s="782"/>
      <c r="AE27" s="782"/>
      <c r="AF27" s="782"/>
      <c r="AG27" s="782"/>
      <c r="AH27" s="782"/>
      <c r="AI27" s="782"/>
      <c r="AJ27" s="782"/>
      <c r="AK27" s="782"/>
      <c r="AL27" s="782"/>
      <c r="AM27" s="782"/>
      <c r="AN27" s="782"/>
      <c r="AO27" s="782"/>
      <c r="AP27" s="782"/>
      <c r="AQ27" s="782"/>
      <c r="AR27" s="782"/>
      <c r="AS27" s="782"/>
      <c r="AT27" s="782"/>
      <c r="AU27" s="782"/>
      <c r="AV27" s="782"/>
      <c r="AW27" s="782"/>
      <c r="AX27" s="782"/>
      <c r="AY27" s="782"/>
      <c r="AZ27" s="782"/>
      <c r="BA27" s="782"/>
      <c r="BB27" s="782"/>
      <c r="BC27" s="782"/>
      <c r="BD27" s="782"/>
      <c r="BE27" s="782"/>
      <c r="BF27" s="782"/>
      <c r="BG27" s="782"/>
      <c r="BH27" s="782"/>
      <c r="BI27" s="782"/>
      <c r="BJ27" s="782"/>
      <c r="BK27" s="782"/>
      <c r="BL27" s="782"/>
      <c r="BM27" s="782"/>
      <c r="BN27" s="782"/>
      <c r="BO27" s="782"/>
      <c r="BP27" s="782"/>
      <c r="BQ27" s="782"/>
      <c r="BR27" s="782"/>
      <c r="BS27" s="782"/>
      <c r="BT27" s="782"/>
      <c r="BU27" s="782"/>
      <c r="BV27" s="782"/>
      <c r="BW27" s="782"/>
      <c r="BX27" s="782"/>
      <c r="BY27" s="782"/>
      <c r="BZ27" s="782"/>
      <c r="CA27" s="782"/>
      <c r="CB27" s="782"/>
      <c r="CC27" s="782"/>
      <c r="CD27" s="782"/>
      <c r="CE27" s="782"/>
      <c r="CF27" s="782"/>
      <c r="CG27" s="782"/>
      <c r="CH27" s="782"/>
      <c r="CI27" s="782"/>
      <c r="CJ27" s="782"/>
      <c r="CK27" s="782"/>
      <c r="CL27" s="782"/>
      <c r="CM27" s="782"/>
      <c r="CN27" s="782"/>
      <c r="CO27" s="782"/>
      <c r="CP27" s="782"/>
      <c r="CQ27" s="782"/>
      <c r="CR27" s="782"/>
      <c r="CS27" s="782"/>
      <c r="CT27" s="782"/>
      <c r="CU27" s="782"/>
      <c r="CV27" s="782"/>
      <c r="CW27" s="782"/>
      <c r="CX27" s="782"/>
      <c r="CY27" s="782"/>
      <c r="CZ27" s="782"/>
      <c r="DA27" s="782"/>
      <c r="DB27" s="782"/>
      <c r="DC27" s="782"/>
      <c r="DD27" s="782"/>
      <c r="DE27" s="782"/>
      <c r="DF27" s="782"/>
      <c r="DG27" s="782"/>
      <c r="DH27" s="782"/>
      <c r="DI27" s="782"/>
      <c r="DJ27" s="782"/>
      <c r="DK27" s="782"/>
      <c r="DL27" s="782"/>
      <c r="DM27" s="782"/>
      <c r="DN27" s="782"/>
      <c r="DO27" s="782"/>
      <c r="DP27" s="782"/>
      <c r="DQ27" s="782"/>
      <c r="DR27" s="782"/>
      <c r="DS27" s="782"/>
      <c r="DT27" s="782"/>
      <c r="DU27" s="782"/>
      <c r="DV27" s="782"/>
      <c r="DW27" s="782"/>
      <c r="DX27" s="782"/>
      <c r="DY27" s="782"/>
      <c r="DZ27" s="782"/>
      <c r="EA27" s="782"/>
      <c r="EB27" s="782"/>
      <c r="EC27" s="782"/>
      <c r="ED27" s="782"/>
      <c r="EE27" s="782"/>
      <c r="EF27" s="782"/>
      <c r="EG27" s="782"/>
      <c r="EH27" s="782"/>
      <c r="EI27" s="782"/>
      <c r="EJ27" s="782"/>
      <c r="EK27" s="782"/>
      <c r="EL27" s="782"/>
      <c r="EM27" s="782"/>
      <c r="EN27" s="782"/>
      <c r="EO27" s="782"/>
      <c r="EP27" s="782"/>
      <c r="EQ27" s="782"/>
      <c r="ER27" s="782"/>
      <c r="ES27" s="782"/>
      <c r="ET27" s="782"/>
      <c r="EU27" s="782"/>
      <c r="EV27" s="782"/>
      <c r="EW27" s="782"/>
      <c r="EX27" s="782"/>
      <c r="EY27" s="782"/>
      <c r="EZ27" s="782"/>
      <c r="FA27" s="782"/>
      <c r="FB27" s="782"/>
      <c r="FC27" s="782"/>
      <c r="FD27" s="782"/>
      <c r="FE27" s="782"/>
      <c r="FF27" s="782"/>
      <c r="FG27" s="782"/>
      <c r="FH27" s="782"/>
      <c r="FI27" s="782"/>
      <c r="FJ27" s="782"/>
      <c r="FK27" s="782"/>
      <c r="FL27" s="782"/>
      <c r="FM27" s="782"/>
      <c r="FN27" s="782"/>
      <c r="FO27" s="782"/>
      <c r="FP27" s="782"/>
      <c r="FQ27" s="782"/>
      <c r="FR27" s="782"/>
      <c r="FS27" s="782"/>
      <c r="FT27" s="782"/>
      <c r="FU27" s="782"/>
      <c r="FV27" s="782"/>
      <c r="FW27" s="782"/>
      <c r="FX27" s="782"/>
      <c r="FY27" s="782"/>
      <c r="FZ27" s="782"/>
      <c r="GA27" s="782"/>
      <c r="GB27" s="782"/>
      <c r="GC27" s="782"/>
      <c r="GD27" s="782"/>
      <c r="GE27" s="782"/>
      <c r="GF27" s="782"/>
      <c r="GG27" s="782"/>
      <c r="GH27" s="782"/>
      <c r="GI27" s="782"/>
      <c r="GJ27" s="782"/>
      <c r="GK27" s="782"/>
      <c r="GL27" s="782"/>
      <c r="GM27" s="782"/>
      <c r="GN27" s="782"/>
      <c r="GO27" s="782"/>
      <c r="GP27" s="782"/>
      <c r="GQ27" s="782"/>
      <c r="GR27" s="782"/>
      <c r="GS27" s="782"/>
      <c r="GT27" s="782"/>
      <c r="GU27" s="782"/>
      <c r="GV27" s="782"/>
      <c r="GW27" s="782"/>
      <c r="GX27" s="782"/>
      <c r="GY27" s="782"/>
      <c r="GZ27" s="782"/>
      <c r="HA27" s="782"/>
      <c r="HB27" s="782"/>
      <c r="HC27" s="782"/>
      <c r="HD27" s="782"/>
      <c r="HE27" s="782"/>
      <c r="HF27" s="782"/>
      <c r="HG27" s="782"/>
      <c r="HH27" s="782"/>
      <c r="HI27" s="782"/>
      <c r="HJ27" s="782"/>
      <c r="HK27" s="782"/>
      <c r="HL27" s="782"/>
      <c r="HM27" s="782"/>
      <c r="HN27" s="782"/>
      <c r="HO27" s="782"/>
      <c r="HP27" s="782"/>
      <c r="HQ27" s="782"/>
      <c r="HR27" s="782"/>
      <c r="HS27" s="782"/>
      <c r="HT27" s="782"/>
      <c r="HU27" s="782"/>
      <c r="HV27" s="782"/>
      <c r="HW27" s="782"/>
      <c r="HX27" s="782"/>
      <c r="HY27" s="782"/>
      <c r="HZ27" s="782"/>
      <c r="IA27" s="782"/>
      <c r="IB27" s="782"/>
      <c r="IC27" s="782"/>
      <c r="ID27" s="782"/>
      <c r="IE27" s="782"/>
      <c r="IF27" s="782"/>
      <c r="IG27" s="782"/>
      <c r="IH27" s="782"/>
      <c r="II27" s="782"/>
      <c r="IJ27" s="782"/>
      <c r="IK27" s="782"/>
      <c r="IL27" s="782"/>
      <c r="IM27" s="782"/>
      <c r="IN27" s="782"/>
      <c r="IO27" s="782"/>
      <c r="IP27" s="782"/>
      <c r="IQ27" s="782"/>
      <c r="IR27" s="782"/>
      <c r="IS27" s="782"/>
      <c r="IT27" s="782"/>
      <c r="IU27" s="782"/>
      <c r="IV27" s="782"/>
      <c r="IW27" s="782"/>
      <c r="IX27" s="782"/>
      <c r="IY27" s="782"/>
      <c r="IZ27" s="782"/>
      <c r="JA27" s="782"/>
      <c r="JB27" s="782"/>
      <c r="JC27" s="782"/>
      <c r="JD27" s="782"/>
      <c r="JE27" s="782"/>
      <c r="JF27" s="782"/>
      <c r="JG27" s="782"/>
      <c r="JH27" s="782"/>
      <c r="JI27" s="782"/>
      <c r="JJ27" s="782"/>
      <c r="JK27" s="782"/>
      <c r="JL27" s="782"/>
      <c r="JM27" s="782"/>
      <c r="JN27" s="782"/>
      <c r="JO27" s="782"/>
      <c r="JP27" s="782"/>
      <c r="JQ27" s="782"/>
      <c r="JR27" s="782"/>
      <c r="JS27" s="782"/>
      <c r="JT27" s="782"/>
      <c r="JU27" s="782"/>
      <c r="JV27" s="782"/>
      <c r="JW27" s="782"/>
      <c r="JX27" s="782"/>
      <c r="JY27" s="782"/>
      <c r="JZ27" s="782"/>
      <c r="KA27" s="782"/>
      <c r="KB27" s="782"/>
      <c r="KC27" s="782"/>
      <c r="KD27" s="782"/>
      <c r="KE27" s="782"/>
      <c r="KF27" s="782"/>
      <c r="KG27" s="782"/>
      <c r="KH27" s="782"/>
      <c r="KI27" s="782"/>
      <c r="KJ27" s="782"/>
      <c r="KK27" s="782"/>
      <c r="KL27" s="782"/>
      <c r="KM27" s="782"/>
      <c r="KN27" s="782"/>
      <c r="KO27" s="782"/>
      <c r="KP27" s="782"/>
      <c r="KQ27" s="782"/>
      <c r="KR27" s="782"/>
      <c r="KS27" s="782"/>
      <c r="KT27" s="782"/>
      <c r="KU27" s="782"/>
      <c r="KV27" s="782"/>
      <c r="KW27" s="782"/>
      <c r="KX27" s="782"/>
      <c r="KY27" s="782"/>
      <c r="KZ27" s="782"/>
      <c r="LA27" s="782"/>
      <c r="LB27" s="782"/>
      <c r="LC27" s="782"/>
      <c r="LD27" s="782"/>
      <c r="LE27" s="782"/>
      <c r="LF27" s="782"/>
      <c r="LG27" s="782"/>
      <c r="LH27" s="782"/>
      <c r="LI27" s="782"/>
      <c r="LJ27" s="782"/>
      <c r="LK27" s="782"/>
      <c r="LL27" s="782"/>
      <c r="LM27" s="782"/>
      <c r="LN27" s="782"/>
      <c r="LO27" s="782"/>
      <c r="LP27" s="782"/>
      <c r="LQ27" s="782"/>
      <c r="LR27" s="782"/>
      <c r="LS27" s="782"/>
      <c r="LT27" s="782"/>
      <c r="LU27" s="782"/>
      <c r="LV27" s="782"/>
      <c r="LW27" s="782"/>
      <c r="LX27" s="782"/>
      <c r="LY27" s="782"/>
      <c r="LZ27" s="782"/>
      <c r="MA27" s="782"/>
      <c r="MB27" s="782"/>
      <c r="MC27" s="782"/>
      <c r="MD27" s="782"/>
      <c r="ME27" s="782"/>
      <c r="MF27" s="782"/>
      <c r="MG27" s="782"/>
      <c r="MH27" s="782"/>
      <c r="MI27" s="782"/>
      <c r="MJ27" s="782"/>
      <c r="MK27" s="782"/>
      <c r="ML27" s="782"/>
      <c r="MM27" s="782"/>
      <c r="MN27" s="782"/>
      <c r="MO27" s="782"/>
      <c r="MP27" s="782"/>
      <c r="MQ27" s="782"/>
      <c r="MR27" s="782"/>
      <c r="MS27" s="782"/>
      <c r="MT27" s="782"/>
      <c r="MU27" s="782"/>
      <c r="MV27" s="782"/>
      <c r="MW27" s="782"/>
      <c r="MX27" s="782"/>
      <c r="MY27" s="782"/>
      <c r="MZ27" s="782"/>
      <c r="NA27" s="782"/>
      <c r="NB27" s="782"/>
      <c r="NC27" s="782"/>
      <c r="ND27" s="782"/>
      <c r="NE27" s="782"/>
      <c r="NF27" s="782"/>
      <c r="NG27" s="782"/>
      <c r="NH27" s="782"/>
      <c r="NI27" s="782"/>
      <c r="NJ27" s="782"/>
      <c r="NK27" s="782"/>
      <c r="NL27" s="782"/>
      <c r="NM27" s="782"/>
      <c r="NN27" s="782"/>
      <c r="NO27" s="782"/>
      <c r="NP27" s="782"/>
      <c r="NQ27" s="782"/>
      <c r="NR27" s="782"/>
      <c r="NS27" s="782"/>
      <c r="NT27" s="782"/>
      <c r="NU27" s="782"/>
      <c r="NV27" s="782"/>
      <c r="NW27" s="782"/>
      <c r="NX27" s="782"/>
      <c r="NY27" s="782"/>
      <c r="NZ27" s="782"/>
      <c r="OA27" s="782"/>
      <c r="OB27" s="782"/>
      <c r="OC27" s="782"/>
      <c r="OD27" s="782"/>
      <c r="OE27" s="782"/>
      <c r="OF27" s="782"/>
      <c r="OG27" s="782"/>
      <c r="OH27" s="782"/>
      <c r="OI27" s="782"/>
      <c r="OJ27" s="782"/>
      <c r="OK27" s="782"/>
      <c r="OL27" s="782"/>
      <c r="OM27" s="782"/>
      <c r="ON27" s="782"/>
      <c r="OO27" s="782"/>
      <c r="OP27" s="782"/>
      <c r="OQ27" s="782"/>
      <c r="OR27" s="782"/>
      <c r="OS27" s="782"/>
      <c r="OT27" s="782"/>
      <c r="OU27" s="782"/>
      <c r="OV27" s="782"/>
      <c r="OW27" s="782"/>
      <c r="OX27" s="782"/>
      <c r="OY27" s="782"/>
      <c r="OZ27" s="782"/>
      <c r="PA27" s="782"/>
      <c r="PB27" s="782"/>
      <c r="PC27" s="782"/>
      <c r="PD27" s="782"/>
      <c r="PE27" s="782"/>
      <c r="PF27" s="782"/>
      <c r="PG27" s="782"/>
      <c r="PH27" s="782"/>
      <c r="PI27" s="782"/>
      <c r="PJ27" s="782"/>
      <c r="PK27" s="782"/>
      <c r="PL27" s="782"/>
      <c r="PM27" s="782"/>
      <c r="PN27" s="782"/>
      <c r="PO27" s="782"/>
    </row>
    <row r="28" spans="1:431" s="143" customFormat="1">
      <c r="A28" s="782"/>
      <c r="B28" s="782"/>
      <c r="C28" s="785"/>
      <c r="D28" s="785"/>
      <c r="E28" s="785"/>
      <c r="F28" s="785"/>
      <c r="G28" s="785"/>
      <c r="H28" s="785"/>
      <c r="I28" s="785"/>
      <c r="J28" s="785"/>
      <c r="K28" s="785"/>
      <c r="L28" s="785"/>
      <c r="M28" s="782"/>
      <c r="N28" s="782"/>
      <c r="O28" s="782"/>
      <c r="P28" s="782"/>
      <c r="Q28" s="782"/>
      <c r="R28" s="782"/>
      <c r="S28" s="782"/>
      <c r="T28" s="782"/>
      <c r="U28" s="782"/>
      <c r="V28" s="782"/>
      <c r="W28" s="782"/>
      <c r="X28" s="782"/>
      <c r="Y28" s="782"/>
      <c r="Z28" s="782"/>
      <c r="AA28" s="782"/>
      <c r="AB28" s="782"/>
      <c r="AC28" s="782"/>
      <c r="AD28" s="782"/>
      <c r="AE28" s="782"/>
      <c r="AF28" s="782"/>
      <c r="AG28" s="782"/>
      <c r="AH28" s="782"/>
      <c r="AI28" s="782"/>
      <c r="AJ28" s="782"/>
      <c r="AK28" s="782"/>
      <c r="AL28" s="782"/>
      <c r="AM28" s="782"/>
      <c r="AN28" s="782"/>
      <c r="AO28" s="782"/>
      <c r="AP28" s="782"/>
      <c r="AQ28" s="782"/>
      <c r="AR28" s="782"/>
      <c r="AS28" s="782"/>
      <c r="AT28" s="782"/>
      <c r="AU28" s="782"/>
      <c r="AV28" s="782"/>
      <c r="AW28" s="782"/>
      <c r="AX28" s="782"/>
      <c r="AY28" s="782"/>
      <c r="AZ28" s="782"/>
      <c r="BA28" s="782"/>
      <c r="BB28" s="782"/>
      <c r="BC28" s="782"/>
      <c r="BD28" s="782"/>
      <c r="BE28" s="782"/>
      <c r="BF28" s="782"/>
      <c r="BG28" s="782"/>
      <c r="BH28" s="782"/>
      <c r="BI28" s="782"/>
      <c r="BJ28" s="782"/>
      <c r="BK28" s="782"/>
      <c r="BL28" s="782"/>
      <c r="BM28" s="782"/>
      <c r="BN28" s="782"/>
      <c r="BO28" s="782"/>
      <c r="BP28" s="782"/>
      <c r="BQ28" s="782"/>
      <c r="BR28" s="782"/>
      <c r="BS28" s="782"/>
      <c r="BT28" s="782"/>
      <c r="BU28" s="782"/>
      <c r="BV28" s="782"/>
      <c r="BW28" s="782"/>
      <c r="BX28" s="782"/>
      <c r="BY28" s="782"/>
      <c r="BZ28" s="782"/>
      <c r="CA28" s="782"/>
      <c r="CB28" s="782"/>
      <c r="CC28" s="782"/>
      <c r="CD28" s="782"/>
      <c r="CE28" s="782"/>
      <c r="CF28" s="782"/>
      <c r="CG28" s="782"/>
      <c r="CH28" s="782"/>
      <c r="CI28" s="782"/>
      <c r="CJ28" s="782"/>
      <c r="CK28" s="782"/>
      <c r="CL28" s="782"/>
      <c r="CM28" s="782"/>
      <c r="CN28" s="782"/>
      <c r="CO28" s="782"/>
      <c r="CP28" s="782"/>
      <c r="CQ28" s="782"/>
      <c r="CR28" s="782"/>
      <c r="CS28" s="782"/>
      <c r="CT28" s="782"/>
      <c r="CU28" s="782"/>
      <c r="CV28" s="782"/>
      <c r="CW28" s="782"/>
      <c r="CX28" s="782"/>
      <c r="CY28" s="782"/>
      <c r="CZ28" s="782"/>
      <c r="DA28" s="782"/>
      <c r="DB28" s="782"/>
      <c r="DC28" s="782"/>
      <c r="DD28" s="782"/>
      <c r="DE28" s="782"/>
      <c r="DF28" s="782"/>
      <c r="DG28" s="782"/>
      <c r="DH28" s="782"/>
      <c r="DI28" s="782"/>
      <c r="DJ28" s="782"/>
      <c r="DK28" s="782"/>
      <c r="DL28" s="782"/>
      <c r="DM28" s="782"/>
      <c r="DN28" s="782"/>
      <c r="DO28" s="782"/>
      <c r="DP28" s="782"/>
      <c r="DQ28" s="782"/>
      <c r="DR28" s="782"/>
      <c r="DS28" s="782"/>
      <c r="DT28" s="782"/>
      <c r="DU28" s="782"/>
      <c r="DV28" s="782"/>
      <c r="DW28" s="782"/>
      <c r="DX28" s="782"/>
      <c r="DY28" s="782"/>
      <c r="DZ28" s="782"/>
      <c r="EA28" s="782"/>
      <c r="EB28" s="782"/>
      <c r="EC28" s="782"/>
      <c r="ED28" s="782"/>
      <c r="EE28" s="782"/>
      <c r="EF28" s="782"/>
      <c r="EG28" s="782"/>
      <c r="EH28" s="782"/>
      <c r="EI28" s="782"/>
      <c r="EJ28" s="782"/>
      <c r="EK28" s="782"/>
      <c r="EL28" s="782"/>
      <c r="EM28" s="782"/>
      <c r="EN28" s="782"/>
      <c r="EO28" s="782"/>
      <c r="EP28" s="782"/>
      <c r="EQ28" s="782"/>
      <c r="ER28" s="782"/>
      <c r="ES28" s="782"/>
      <c r="ET28" s="782"/>
      <c r="EU28" s="782"/>
      <c r="EV28" s="782"/>
      <c r="EW28" s="782"/>
      <c r="EX28" s="782"/>
      <c r="EY28" s="782"/>
      <c r="EZ28" s="782"/>
      <c r="FA28" s="782"/>
      <c r="FB28" s="782"/>
      <c r="FC28" s="782"/>
      <c r="FD28" s="782"/>
      <c r="FE28" s="782"/>
      <c r="FF28" s="782"/>
      <c r="FG28" s="782"/>
      <c r="FH28" s="782"/>
      <c r="FI28" s="782"/>
      <c r="FJ28" s="782"/>
      <c r="FK28" s="782"/>
      <c r="FL28" s="782"/>
      <c r="FM28" s="782"/>
      <c r="FN28" s="782"/>
      <c r="FO28" s="782"/>
      <c r="FP28" s="782"/>
      <c r="FQ28" s="782"/>
      <c r="FR28" s="782"/>
      <c r="FS28" s="782"/>
      <c r="FT28" s="782"/>
      <c r="FU28" s="782"/>
      <c r="FV28" s="782"/>
      <c r="FW28" s="782"/>
      <c r="FX28" s="782"/>
      <c r="FY28" s="782"/>
      <c r="FZ28" s="782"/>
      <c r="GA28" s="782"/>
      <c r="GB28" s="782"/>
      <c r="GC28" s="782"/>
      <c r="GD28" s="782"/>
      <c r="GE28" s="782"/>
      <c r="GF28" s="782"/>
      <c r="GG28" s="782"/>
      <c r="GH28" s="782"/>
      <c r="GI28" s="782"/>
      <c r="GJ28" s="782"/>
      <c r="GK28" s="782"/>
      <c r="GL28" s="782"/>
      <c r="GM28" s="782"/>
      <c r="GN28" s="782"/>
      <c r="GO28" s="782"/>
      <c r="GP28" s="782"/>
      <c r="GQ28" s="782"/>
      <c r="GR28" s="782"/>
      <c r="GS28" s="782"/>
      <c r="GT28" s="782"/>
      <c r="GU28" s="782"/>
      <c r="GV28" s="782"/>
      <c r="GW28" s="782"/>
      <c r="GX28" s="782"/>
      <c r="GY28" s="782"/>
      <c r="GZ28" s="782"/>
      <c r="HA28" s="782"/>
      <c r="HB28" s="782"/>
      <c r="HC28" s="782"/>
      <c r="HD28" s="782"/>
      <c r="HE28" s="782"/>
      <c r="HF28" s="782"/>
      <c r="HG28" s="782"/>
      <c r="HH28" s="782"/>
      <c r="HI28" s="782"/>
      <c r="HJ28" s="782"/>
      <c r="HK28" s="782"/>
      <c r="HL28" s="782"/>
      <c r="HM28" s="782"/>
      <c r="HN28" s="782"/>
      <c r="HO28" s="782"/>
      <c r="HP28" s="782"/>
      <c r="HQ28" s="782"/>
      <c r="HR28" s="782"/>
      <c r="HS28" s="782"/>
      <c r="HT28" s="782"/>
      <c r="HU28" s="782"/>
      <c r="HV28" s="782"/>
      <c r="HW28" s="782"/>
      <c r="HX28" s="782"/>
      <c r="HY28" s="782"/>
      <c r="HZ28" s="782"/>
      <c r="IA28" s="782"/>
      <c r="IB28" s="782"/>
      <c r="IC28" s="782"/>
      <c r="ID28" s="782"/>
      <c r="IE28" s="782"/>
      <c r="IF28" s="782"/>
      <c r="IG28" s="782"/>
      <c r="IH28" s="782"/>
      <c r="II28" s="782"/>
      <c r="IJ28" s="782"/>
      <c r="IK28" s="782"/>
      <c r="IL28" s="782"/>
      <c r="IM28" s="782"/>
      <c r="IN28" s="782"/>
      <c r="IO28" s="782"/>
      <c r="IP28" s="782"/>
      <c r="IQ28" s="782"/>
      <c r="IR28" s="782"/>
      <c r="IS28" s="782"/>
      <c r="IT28" s="782"/>
      <c r="IU28" s="782"/>
      <c r="IV28" s="782"/>
      <c r="IW28" s="782"/>
      <c r="IX28" s="782"/>
      <c r="IY28" s="782"/>
      <c r="IZ28" s="782"/>
      <c r="JA28" s="782"/>
      <c r="JB28" s="782"/>
      <c r="JC28" s="782"/>
      <c r="JD28" s="782"/>
      <c r="JE28" s="782"/>
      <c r="JF28" s="782"/>
      <c r="JG28" s="782"/>
      <c r="JH28" s="782"/>
      <c r="JI28" s="782"/>
      <c r="JJ28" s="782"/>
      <c r="JK28" s="782"/>
      <c r="JL28" s="782"/>
      <c r="JM28" s="782"/>
      <c r="JN28" s="782"/>
      <c r="JO28" s="782"/>
      <c r="JP28" s="782"/>
      <c r="JQ28" s="782"/>
      <c r="JR28" s="782"/>
      <c r="JS28" s="782"/>
      <c r="JT28" s="782"/>
      <c r="JU28" s="782"/>
      <c r="JV28" s="782"/>
      <c r="JW28" s="782"/>
      <c r="JX28" s="782"/>
      <c r="JY28" s="782"/>
      <c r="JZ28" s="782"/>
      <c r="KA28" s="782"/>
      <c r="KB28" s="782"/>
      <c r="KC28" s="782"/>
      <c r="KD28" s="782"/>
      <c r="KE28" s="782"/>
      <c r="KF28" s="782"/>
      <c r="KG28" s="782"/>
      <c r="KH28" s="782"/>
      <c r="KI28" s="782"/>
      <c r="KJ28" s="782"/>
      <c r="KK28" s="782"/>
      <c r="KL28" s="782"/>
      <c r="KM28" s="782"/>
      <c r="KN28" s="782"/>
      <c r="KO28" s="782"/>
      <c r="KP28" s="782"/>
      <c r="KQ28" s="782"/>
      <c r="KR28" s="782"/>
      <c r="KS28" s="782"/>
      <c r="KT28" s="782"/>
      <c r="KU28" s="782"/>
      <c r="KV28" s="782"/>
      <c r="KW28" s="782"/>
      <c r="KX28" s="782"/>
      <c r="KY28" s="782"/>
      <c r="KZ28" s="782"/>
      <c r="LA28" s="782"/>
      <c r="LB28" s="782"/>
      <c r="LC28" s="782"/>
      <c r="LD28" s="782"/>
      <c r="LE28" s="782"/>
      <c r="LF28" s="782"/>
      <c r="LG28" s="782"/>
      <c r="LH28" s="782"/>
      <c r="LI28" s="782"/>
      <c r="LJ28" s="782"/>
      <c r="LK28" s="782"/>
      <c r="LL28" s="782"/>
      <c r="LM28" s="782"/>
      <c r="LN28" s="782"/>
      <c r="LO28" s="782"/>
      <c r="LP28" s="782"/>
      <c r="LQ28" s="782"/>
      <c r="LR28" s="782"/>
      <c r="LS28" s="782"/>
      <c r="LT28" s="782"/>
      <c r="LU28" s="782"/>
      <c r="LV28" s="782"/>
      <c r="LW28" s="782"/>
      <c r="LX28" s="782"/>
      <c r="LY28" s="782"/>
      <c r="LZ28" s="782"/>
      <c r="MA28" s="782"/>
      <c r="MB28" s="782"/>
      <c r="MC28" s="782"/>
      <c r="MD28" s="782"/>
      <c r="ME28" s="782"/>
      <c r="MF28" s="782"/>
      <c r="MG28" s="782"/>
      <c r="MH28" s="782"/>
      <c r="MI28" s="782"/>
      <c r="MJ28" s="782"/>
      <c r="MK28" s="782"/>
      <c r="ML28" s="782"/>
      <c r="MM28" s="782"/>
      <c r="MN28" s="782"/>
      <c r="MO28" s="782"/>
      <c r="MP28" s="782"/>
      <c r="MQ28" s="782"/>
      <c r="MR28" s="782"/>
      <c r="MS28" s="782"/>
      <c r="MT28" s="782"/>
      <c r="MU28" s="782"/>
      <c r="MV28" s="782"/>
      <c r="MW28" s="782"/>
      <c r="MX28" s="782"/>
      <c r="MY28" s="782"/>
      <c r="MZ28" s="782"/>
      <c r="NA28" s="782"/>
      <c r="NB28" s="782"/>
      <c r="NC28" s="782"/>
      <c r="ND28" s="782"/>
      <c r="NE28" s="782"/>
      <c r="NF28" s="782"/>
      <c r="NG28" s="782"/>
      <c r="NH28" s="782"/>
      <c r="NI28" s="782"/>
      <c r="NJ28" s="782"/>
      <c r="NK28" s="782"/>
      <c r="NL28" s="782"/>
      <c r="NM28" s="782"/>
      <c r="NN28" s="782"/>
      <c r="NO28" s="782"/>
      <c r="NP28" s="782"/>
      <c r="NQ28" s="782"/>
      <c r="NR28" s="782"/>
      <c r="NS28" s="782"/>
      <c r="NT28" s="782"/>
      <c r="NU28" s="782"/>
      <c r="NV28" s="782"/>
      <c r="NW28" s="782"/>
      <c r="NX28" s="782"/>
      <c r="NY28" s="782"/>
      <c r="NZ28" s="782"/>
      <c r="OA28" s="782"/>
      <c r="OB28" s="782"/>
      <c r="OC28" s="782"/>
      <c r="OD28" s="782"/>
      <c r="OE28" s="782"/>
      <c r="OF28" s="782"/>
      <c r="OG28" s="782"/>
      <c r="OH28" s="782"/>
      <c r="OI28" s="782"/>
      <c r="OJ28" s="782"/>
      <c r="OK28" s="782"/>
      <c r="OL28" s="782"/>
      <c r="OM28" s="782"/>
      <c r="ON28" s="782"/>
      <c r="OO28" s="782"/>
      <c r="OP28" s="782"/>
      <c r="OQ28" s="782"/>
      <c r="OR28" s="782"/>
      <c r="OS28" s="782"/>
      <c r="OT28" s="782"/>
      <c r="OU28" s="782"/>
      <c r="OV28" s="782"/>
      <c r="OW28" s="782"/>
      <c r="OX28" s="782"/>
      <c r="OY28" s="782"/>
      <c r="OZ28" s="782"/>
      <c r="PA28" s="782"/>
      <c r="PB28" s="782"/>
      <c r="PC28" s="782"/>
      <c r="PD28" s="782"/>
      <c r="PE28" s="782"/>
      <c r="PF28" s="782"/>
      <c r="PG28" s="782"/>
      <c r="PH28" s="782"/>
      <c r="PI28" s="782"/>
      <c r="PJ28" s="782"/>
      <c r="PK28" s="782"/>
      <c r="PL28" s="782"/>
      <c r="PM28" s="782"/>
      <c r="PN28" s="782"/>
      <c r="PO28" s="782"/>
    </row>
    <row r="29" spans="1:431" s="143" customFormat="1">
      <c r="A29" s="782"/>
      <c r="B29" s="782"/>
      <c r="C29" s="785"/>
      <c r="D29" s="785"/>
      <c r="E29" s="785"/>
      <c r="F29" s="785"/>
      <c r="G29" s="785"/>
      <c r="H29" s="785"/>
      <c r="I29" s="785"/>
      <c r="J29" s="785"/>
      <c r="K29" s="785"/>
      <c r="L29" s="785"/>
      <c r="M29" s="782"/>
      <c r="N29" s="782"/>
      <c r="O29" s="782"/>
      <c r="P29" s="782"/>
      <c r="Q29" s="782"/>
      <c r="R29" s="782"/>
      <c r="S29" s="782"/>
      <c r="T29" s="782"/>
      <c r="U29" s="782"/>
      <c r="V29" s="782"/>
      <c r="W29" s="782"/>
      <c r="X29" s="782"/>
      <c r="Y29" s="782"/>
      <c r="Z29" s="782"/>
      <c r="AA29" s="782"/>
      <c r="AB29" s="782"/>
      <c r="AC29" s="782"/>
      <c r="AD29" s="782"/>
      <c r="AE29" s="782"/>
      <c r="AF29" s="782"/>
      <c r="AG29" s="782"/>
      <c r="AH29" s="782"/>
      <c r="AI29" s="782"/>
      <c r="AJ29" s="782"/>
      <c r="AK29" s="782"/>
      <c r="AL29" s="782"/>
      <c r="AM29" s="782"/>
      <c r="AN29" s="782"/>
      <c r="AO29" s="782"/>
      <c r="AP29" s="782"/>
      <c r="AQ29" s="782"/>
      <c r="AR29" s="782"/>
      <c r="AS29" s="782"/>
      <c r="AT29" s="782"/>
      <c r="AU29" s="782"/>
      <c r="AV29" s="782"/>
      <c r="AW29" s="782"/>
      <c r="AX29" s="782"/>
      <c r="AY29" s="782"/>
      <c r="AZ29" s="782"/>
      <c r="BA29" s="782"/>
      <c r="BB29" s="782"/>
      <c r="BC29" s="782"/>
      <c r="BD29" s="782"/>
      <c r="BE29" s="782"/>
      <c r="BF29" s="782"/>
      <c r="BG29" s="782"/>
      <c r="BH29" s="782"/>
      <c r="BI29" s="782"/>
      <c r="BJ29" s="782"/>
      <c r="BK29" s="782"/>
      <c r="BL29" s="782"/>
      <c r="BM29" s="782"/>
      <c r="BN29" s="782"/>
      <c r="BO29" s="782"/>
      <c r="BP29" s="782"/>
      <c r="BQ29" s="782"/>
      <c r="BR29" s="782"/>
      <c r="BS29" s="782"/>
      <c r="BT29" s="782"/>
      <c r="BU29" s="782"/>
      <c r="BV29" s="782"/>
      <c r="BW29" s="782"/>
      <c r="BX29" s="782"/>
      <c r="BY29" s="782"/>
      <c r="BZ29" s="782"/>
      <c r="CA29" s="782"/>
      <c r="CB29" s="782"/>
      <c r="CC29" s="782"/>
      <c r="CD29" s="782"/>
      <c r="CE29" s="782"/>
      <c r="CF29" s="782"/>
      <c r="CG29" s="782"/>
      <c r="CH29" s="782"/>
      <c r="CI29" s="782"/>
      <c r="CJ29" s="782"/>
      <c r="CK29" s="782"/>
      <c r="CL29" s="782"/>
      <c r="CM29" s="782"/>
      <c r="CN29" s="782"/>
      <c r="CO29" s="782"/>
      <c r="CP29" s="782"/>
      <c r="CQ29" s="782"/>
      <c r="CR29" s="782"/>
      <c r="CS29" s="782"/>
      <c r="CT29" s="782"/>
      <c r="CU29" s="782"/>
      <c r="CV29" s="782"/>
      <c r="CW29" s="782"/>
      <c r="CX29" s="782"/>
      <c r="CY29" s="782"/>
      <c r="CZ29" s="782"/>
      <c r="DA29" s="782"/>
      <c r="DB29" s="782"/>
      <c r="DC29" s="782"/>
      <c r="DD29" s="782"/>
      <c r="DE29" s="782"/>
      <c r="DF29" s="782"/>
      <c r="DG29" s="782"/>
      <c r="DH29" s="782"/>
      <c r="DI29" s="782"/>
      <c r="DJ29" s="782"/>
      <c r="DK29" s="782"/>
      <c r="DL29" s="782"/>
      <c r="DM29" s="782"/>
      <c r="DN29" s="782"/>
      <c r="DO29" s="782"/>
      <c r="DP29" s="782"/>
      <c r="DQ29" s="782"/>
      <c r="DR29" s="782"/>
      <c r="DS29" s="782"/>
      <c r="DT29" s="782"/>
      <c r="DU29" s="782"/>
      <c r="DV29" s="782"/>
      <c r="DW29" s="782"/>
      <c r="DX29" s="782"/>
      <c r="DY29" s="782"/>
      <c r="DZ29" s="782"/>
      <c r="EA29" s="782"/>
      <c r="EB29" s="782"/>
      <c r="EC29" s="782"/>
      <c r="ED29" s="782"/>
      <c r="EE29" s="782"/>
      <c r="EF29" s="782"/>
      <c r="EG29" s="782"/>
      <c r="EH29" s="782"/>
      <c r="EI29" s="782"/>
      <c r="EJ29" s="782"/>
      <c r="EK29" s="782"/>
      <c r="EL29" s="782"/>
      <c r="EM29" s="782"/>
      <c r="EN29" s="782"/>
      <c r="EO29" s="782"/>
      <c r="EP29" s="782"/>
      <c r="EQ29" s="782"/>
      <c r="ER29" s="782"/>
      <c r="ES29" s="782"/>
      <c r="ET29" s="782"/>
      <c r="EU29" s="782"/>
      <c r="EV29" s="782"/>
      <c r="EW29" s="782"/>
      <c r="EX29" s="782"/>
      <c r="EY29" s="782"/>
      <c r="EZ29" s="782"/>
      <c r="FA29" s="782"/>
      <c r="FB29" s="782"/>
      <c r="FC29" s="782"/>
      <c r="FD29" s="782"/>
      <c r="FE29" s="782"/>
      <c r="FF29" s="782"/>
      <c r="FG29" s="782"/>
      <c r="FH29" s="782"/>
      <c r="FI29" s="782"/>
      <c r="FJ29" s="782"/>
      <c r="FK29" s="782"/>
      <c r="FL29" s="782"/>
      <c r="FM29" s="782"/>
      <c r="FN29" s="782"/>
      <c r="FO29" s="782"/>
      <c r="FP29" s="782"/>
      <c r="FQ29" s="782"/>
      <c r="FR29" s="782"/>
      <c r="FS29" s="782"/>
      <c r="FT29" s="782"/>
      <c r="FU29" s="782"/>
      <c r="FV29" s="782"/>
      <c r="FW29" s="782"/>
      <c r="FX29" s="782"/>
      <c r="FY29" s="782"/>
      <c r="FZ29" s="782"/>
      <c r="GA29" s="782"/>
      <c r="GB29" s="782"/>
      <c r="GC29" s="782"/>
      <c r="GD29" s="782"/>
      <c r="GE29" s="782"/>
      <c r="GF29" s="782"/>
      <c r="GG29" s="782"/>
      <c r="GH29" s="782"/>
      <c r="GI29" s="782"/>
      <c r="GJ29" s="782"/>
      <c r="GK29" s="782"/>
      <c r="GL29" s="782"/>
      <c r="GM29" s="782"/>
      <c r="GN29" s="782"/>
      <c r="GO29" s="782"/>
      <c r="GP29" s="782"/>
      <c r="GQ29" s="782"/>
      <c r="GR29" s="782"/>
      <c r="GS29" s="782"/>
      <c r="GT29" s="782"/>
      <c r="GU29" s="782"/>
      <c r="GV29" s="782"/>
      <c r="GW29" s="782"/>
      <c r="GX29" s="782"/>
      <c r="GY29" s="782"/>
      <c r="GZ29" s="782"/>
      <c r="HA29" s="782"/>
      <c r="HB29" s="782"/>
      <c r="HC29" s="782"/>
      <c r="HD29" s="782"/>
      <c r="HE29" s="782"/>
      <c r="HF29" s="782"/>
      <c r="HG29" s="782"/>
      <c r="HH29" s="782"/>
      <c r="HI29" s="782"/>
      <c r="HJ29" s="782"/>
      <c r="HK29" s="782"/>
      <c r="HL29" s="782"/>
      <c r="HM29" s="782"/>
      <c r="HN29" s="782"/>
      <c r="HO29" s="782"/>
      <c r="HP29" s="782"/>
      <c r="HQ29" s="782"/>
      <c r="HR29" s="782"/>
      <c r="HS29" s="782"/>
      <c r="HT29" s="782"/>
      <c r="HU29" s="782"/>
      <c r="HV29" s="782"/>
      <c r="HW29" s="782"/>
      <c r="HX29" s="782"/>
      <c r="HY29" s="782"/>
      <c r="HZ29" s="782"/>
      <c r="IA29" s="782"/>
      <c r="IB29" s="782"/>
      <c r="IC29" s="782"/>
      <c r="ID29" s="782"/>
      <c r="IE29" s="782"/>
      <c r="IF29" s="782"/>
      <c r="IG29" s="782"/>
      <c r="IH29" s="782"/>
      <c r="II29" s="782"/>
      <c r="IJ29" s="782"/>
      <c r="IK29" s="782"/>
      <c r="IL29" s="782"/>
      <c r="IM29" s="782"/>
      <c r="IN29" s="782"/>
      <c r="IO29" s="782"/>
      <c r="IP29" s="782"/>
      <c r="IQ29" s="782"/>
      <c r="IR29" s="782"/>
      <c r="IS29" s="782"/>
      <c r="IT29" s="782"/>
      <c r="IU29" s="782"/>
      <c r="IV29" s="782"/>
      <c r="IW29" s="782"/>
      <c r="IX29" s="782"/>
      <c r="IY29" s="782"/>
      <c r="IZ29" s="782"/>
      <c r="JA29" s="782"/>
      <c r="JB29" s="782"/>
      <c r="JC29" s="782"/>
      <c r="JD29" s="782"/>
      <c r="JE29" s="782"/>
      <c r="JF29" s="782"/>
      <c r="JG29" s="782"/>
      <c r="JH29" s="782"/>
      <c r="JI29" s="782"/>
      <c r="JJ29" s="782"/>
      <c r="JK29" s="782"/>
      <c r="JL29" s="782"/>
      <c r="JM29" s="782"/>
      <c r="JN29" s="782"/>
      <c r="JO29" s="782"/>
      <c r="JP29" s="782"/>
      <c r="JQ29" s="782"/>
      <c r="JR29" s="782"/>
      <c r="JS29" s="782"/>
      <c r="JT29" s="782"/>
      <c r="JU29" s="782"/>
      <c r="JV29" s="782"/>
      <c r="JW29" s="782"/>
      <c r="JX29" s="782"/>
      <c r="JY29" s="782"/>
      <c r="JZ29" s="782"/>
      <c r="KA29" s="782"/>
      <c r="KB29" s="782"/>
      <c r="KC29" s="782"/>
      <c r="KD29" s="782"/>
      <c r="KE29" s="782"/>
      <c r="KF29" s="782"/>
      <c r="KG29" s="782"/>
      <c r="KH29" s="782"/>
      <c r="KI29" s="782"/>
      <c r="KJ29" s="782"/>
      <c r="KK29" s="782"/>
      <c r="KL29" s="782"/>
      <c r="KM29" s="782"/>
      <c r="KN29" s="782"/>
      <c r="KO29" s="782"/>
      <c r="KP29" s="782"/>
      <c r="KQ29" s="782"/>
      <c r="KR29" s="782"/>
      <c r="KS29" s="782"/>
      <c r="KT29" s="782"/>
      <c r="KU29" s="782"/>
      <c r="KV29" s="782"/>
      <c r="KW29" s="782"/>
      <c r="KX29" s="782"/>
      <c r="KY29" s="782"/>
      <c r="KZ29" s="782"/>
      <c r="LA29" s="782"/>
      <c r="LB29" s="782"/>
      <c r="LC29" s="782"/>
      <c r="LD29" s="782"/>
      <c r="LE29" s="782"/>
      <c r="LF29" s="782"/>
      <c r="LG29" s="782"/>
      <c r="LH29" s="782"/>
      <c r="LI29" s="782"/>
      <c r="LJ29" s="782"/>
      <c r="LK29" s="782"/>
      <c r="LL29" s="782"/>
      <c r="LM29" s="782"/>
      <c r="LN29" s="782"/>
      <c r="LO29" s="782"/>
      <c r="LP29" s="782"/>
      <c r="LQ29" s="782"/>
      <c r="LR29" s="782"/>
      <c r="LS29" s="782"/>
      <c r="LT29" s="782"/>
      <c r="LU29" s="782"/>
      <c r="LV29" s="782"/>
      <c r="LW29" s="782"/>
      <c r="LX29" s="782"/>
      <c r="LY29" s="782"/>
      <c r="LZ29" s="782"/>
      <c r="MA29" s="782"/>
      <c r="MB29" s="782"/>
      <c r="MC29" s="782"/>
      <c r="MD29" s="782"/>
      <c r="ME29" s="782"/>
      <c r="MF29" s="782"/>
      <c r="MG29" s="782"/>
      <c r="MH29" s="782"/>
      <c r="MI29" s="782"/>
      <c r="MJ29" s="782"/>
      <c r="MK29" s="782"/>
      <c r="ML29" s="782"/>
      <c r="MM29" s="782"/>
      <c r="MN29" s="782"/>
      <c r="MO29" s="782"/>
      <c r="MP29" s="782"/>
      <c r="MQ29" s="782"/>
      <c r="MR29" s="782"/>
      <c r="MS29" s="782"/>
      <c r="MT29" s="782"/>
      <c r="MU29" s="782"/>
      <c r="MV29" s="782"/>
      <c r="MW29" s="782"/>
      <c r="MX29" s="782"/>
      <c r="MY29" s="782"/>
      <c r="MZ29" s="782"/>
      <c r="NA29" s="782"/>
      <c r="NB29" s="782"/>
      <c r="NC29" s="782"/>
      <c r="ND29" s="782"/>
      <c r="NE29" s="782"/>
      <c r="NF29" s="782"/>
      <c r="NG29" s="782"/>
      <c r="NH29" s="782"/>
      <c r="NI29" s="782"/>
      <c r="NJ29" s="782"/>
      <c r="NK29" s="782"/>
      <c r="NL29" s="782"/>
      <c r="NM29" s="782"/>
      <c r="NN29" s="782"/>
      <c r="NO29" s="782"/>
      <c r="NP29" s="782"/>
      <c r="NQ29" s="782"/>
      <c r="NR29" s="782"/>
      <c r="NS29" s="782"/>
      <c r="NT29" s="782"/>
      <c r="NU29" s="782"/>
      <c r="NV29" s="782"/>
      <c r="NW29" s="782"/>
      <c r="NX29" s="782"/>
      <c r="NY29" s="782"/>
      <c r="NZ29" s="782"/>
      <c r="OA29" s="782"/>
      <c r="OB29" s="782"/>
      <c r="OC29" s="782"/>
      <c r="OD29" s="782"/>
      <c r="OE29" s="782"/>
      <c r="OF29" s="782"/>
      <c r="OG29" s="782"/>
      <c r="OH29" s="782"/>
      <c r="OI29" s="782"/>
      <c r="OJ29" s="782"/>
      <c r="OK29" s="782"/>
      <c r="OL29" s="782"/>
      <c r="OM29" s="782"/>
      <c r="ON29" s="782"/>
      <c r="OO29" s="782"/>
      <c r="OP29" s="782"/>
      <c r="OQ29" s="782"/>
      <c r="OR29" s="782"/>
      <c r="OS29" s="782"/>
      <c r="OT29" s="782"/>
      <c r="OU29" s="782"/>
      <c r="OV29" s="782"/>
      <c r="OW29" s="782"/>
      <c r="OX29" s="782"/>
      <c r="OY29" s="782"/>
      <c r="OZ29" s="782"/>
      <c r="PA29" s="782"/>
      <c r="PB29" s="782"/>
      <c r="PC29" s="782"/>
      <c r="PD29" s="782"/>
      <c r="PE29" s="782"/>
      <c r="PF29" s="782"/>
      <c r="PG29" s="782"/>
      <c r="PH29" s="782"/>
      <c r="PI29" s="782"/>
      <c r="PJ29" s="782"/>
      <c r="PK29" s="782"/>
      <c r="PL29" s="782"/>
      <c r="PM29" s="782"/>
      <c r="PN29" s="782"/>
      <c r="PO29" s="782"/>
    </row>
    <row r="30" spans="1:431" s="143" customFormat="1">
      <c r="A30" s="782"/>
      <c r="B30" s="782"/>
      <c r="C30" s="785"/>
      <c r="D30" s="785"/>
      <c r="E30" s="785"/>
      <c r="F30" s="785"/>
      <c r="G30" s="785"/>
      <c r="H30" s="785"/>
      <c r="I30" s="785"/>
      <c r="J30" s="785"/>
      <c r="K30" s="785"/>
      <c r="L30" s="785"/>
      <c r="M30" s="782"/>
      <c r="N30" s="782"/>
      <c r="O30" s="782"/>
      <c r="P30" s="782"/>
      <c r="Q30" s="782"/>
      <c r="R30" s="782"/>
      <c r="S30" s="782"/>
      <c r="T30" s="782"/>
      <c r="U30" s="782"/>
      <c r="V30" s="782"/>
      <c r="W30" s="782"/>
      <c r="X30" s="782"/>
      <c r="Y30" s="782"/>
      <c r="Z30" s="782"/>
      <c r="AA30" s="782"/>
      <c r="AB30" s="782"/>
      <c r="AC30" s="782"/>
      <c r="AD30" s="782"/>
      <c r="AE30" s="782"/>
      <c r="AF30" s="782"/>
      <c r="AG30" s="782"/>
      <c r="AH30" s="782"/>
      <c r="AI30" s="782"/>
      <c r="AJ30" s="782"/>
      <c r="AK30" s="782"/>
      <c r="AL30" s="782"/>
      <c r="AM30" s="782"/>
      <c r="AN30" s="782"/>
      <c r="AO30" s="782"/>
      <c r="AP30" s="782"/>
      <c r="AQ30" s="782"/>
      <c r="AR30" s="782"/>
      <c r="AS30" s="782"/>
      <c r="AT30" s="782"/>
      <c r="AU30" s="782"/>
      <c r="AV30" s="782"/>
      <c r="AW30" s="782"/>
      <c r="AX30" s="782"/>
      <c r="AY30" s="782"/>
      <c r="AZ30" s="782"/>
      <c r="BA30" s="782"/>
      <c r="BB30" s="782"/>
      <c r="BC30" s="782"/>
      <c r="BD30" s="782"/>
      <c r="BE30" s="782"/>
      <c r="BF30" s="782"/>
      <c r="BG30" s="782"/>
      <c r="BH30" s="782"/>
      <c r="BI30" s="782"/>
      <c r="BJ30" s="782"/>
      <c r="BK30" s="782"/>
      <c r="BL30" s="782"/>
      <c r="BM30" s="782"/>
      <c r="BN30" s="782"/>
      <c r="BO30" s="782"/>
      <c r="BP30" s="782"/>
      <c r="BQ30" s="782"/>
      <c r="BR30" s="782"/>
      <c r="BS30" s="782"/>
      <c r="BT30" s="782"/>
      <c r="BU30" s="782"/>
      <c r="BV30" s="782"/>
      <c r="BW30" s="782"/>
      <c r="BX30" s="782"/>
      <c r="BY30" s="782"/>
      <c r="BZ30" s="782"/>
      <c r="CA30" s="782"/>
      <c r="CB30" s="782"/>
      <c r="CC30" s="782"/>
      <c r="CD30" s="782"/>
      <c r="CE30" s="782"/>
      <c r="CF30" s="782"/>
      <c r="CG30" s="782"/>
      <c r="CH30" s="782"/>
      <c r="CI30" s="782"/>
      <c r="CJ30" s="782"/>
      <c r="CK30" s="782"/>
      <c r="CL30" s="782"/>
      <c r="CM30" s="782"/>
      <c r="CN30" s="782"/>
      <c r="CO30" s="782"/>
      <c r="CP30" s="782"/>
      <c r="CQ30" s="782"/>
      <c r="CR30" s="782"/>
      <c r="CS30" s="782"/>
      <c r="CT30" s="782"/>
      <c r="CU30" s="782"/>
      <c r="CV30" s="782"/>
      <c r="CW30" s="782"/>
      <c r="CX30" s="782"/>
      <c r="CY30" s="782"/>
      <c r="CZ30" s="782"/>
      <c r="DA30" s="782"/>
      <c r="DB30" s="782"/>
      <c r="DC30" s="782"/>
      <c r="DD30" s="782"/>
      <c r="DE30" s="782"/>
      <c r="DF30" s="782"/>
      <c r="DG30" s="782"/>
      <c r="DH30" s="782"/>
      <c r="DI30" s="782"/>
      <c r="DJ30" s="782"/>
      <c r="DK30" s="782"/>
      <c r="DL30" s="782"/>
      <c r="DM30" s="782"/>
      <c r="DN30" s="782"/>
      <c r="DO30" s="782"/>
      <c r="DP30" s="782"/>
      <c r="DQ30" s="782"/>
      <c r="DR30" s="782"/>
      <c r="DS30" s="782"/>
      <c r="DT30" s="782"/>
      <c r="DU30" s="782"/>
      <c r="DV30" s="782"/>
      <c r="DW30" s="782"/>
      <c r="DX30" s="782"/>
      <c r="DY30" s="782"/>
      <c r="DZ30" s="782"/>
      <c r="EA30" s="782"/>
      <c r="EB30" s="782"/>
      <c r="EC30" s="782"/>
      <c r="ED30" s="782"/>
      <c r="EE30" s="782"/>
      <c r="EF30" s="782"/>
      <c r="EG30" s="782"/>
      <c r="EH30" s="782"/>
      <c r="EI30" s="782"/>
      <c r="EJ30" s="782"/>
      <c r="EK30" s="782"/>
      <c r="EL30" s="782"/>
      <c r="EM30" s="782"/>
      <c r="EN30" s="782"/>
      <c r="EO30" s="782"/>
      <c r="EP30" s="782"/>
      <c r="EQ30" s="782"/>
      <c r="ER30" s="782"/>
      <c r="ES30" s="782"/>
      <c r="ET30" s="782"/>
      <c r="EU30" s="782"/>
      <c r="EV30" s="782"/>
      <c r="EW30" s="782"/>
      <c r="EX30" s="782"/>
      <c r="EY30" s="782"/>
      <c r="EZ30" s="782"/>
      <c r="FA30" s="782"/>
      <c r="FB30" s="782"/>
      <c r="FC30" s="782"/>
      <c r="FD30" s="782"/>
      <c r="FE30" s="782"/>
      <c r="FF30" s="782"/>
      <c r="FG30" s="782"/>
      <c r="FH30" s="782"/>
      <c r="FI30" s="782"/>
      <c r="FJ30" s="782"/>
      <c r="FK30" s="782"/>
      <c r="FL30" s="782"/>
      <c r="FM30" s="782"/>
      <c r="FN30" s="782"/>
      <c r="FO30" s="782"/>
      <c r="FP30" s="782"/>
      <c r="FQ30" s="782"/>
      <c r="FR30" s="782"/>
      <c r="FS30" s="782"/>
      <c r="FT30" s="782"/>
      <c r="FU30" s="782"/>
      <c r="FV30" s="782"/>
      <c r="FW30" s="782"/>
      <c r="FX30" s="782"/>
      <c r="FY30" s="782"/>
      <c r="FZ30" s="782"/>
      <c r="GA30" s="782"/>
      <c r="GB30" s="782"/>
      <c r="GC30" s="782"/>
      <c r="GD30" s="782"/>
      <c r="GE30" s="782"/>
      <c r="GF30" s="782"/>
      <c r="GG30" s="782"/>
      <c r="GH30" s="782"/>
      <c r="GI30" s="782"/>
      <c r="GJ30" s="782"/>
      <c r="GK30" s="782"/>
      <c r="GL30" s="782"/>
      <c r="GM30" s="782"/>
      <c r="GN30" s="782"/>
      <c r="GO30" s="782"/>
      <c r="GP30" s="782"/>
      <c r="GQ30" s="782"/>
      <c r="GR30" s="782"/>
      <c r="GS30" s="782"/>
      <c r="GT30" s="782"/>
      <c r="GU30" s="782"/>
      <c r="GV30" s="782"/>
      <c r="GW30" s="782"/>
      <c r="GX30" s="782"/>
      <c r="GY30" s="782"/>
      <c r="GZ30" s="782"/>
      <c r="HA30" s="782"/>
      <c r="HB30" s="782"/>
      <c r="HC30" s="782"/>
      <c r="HD30" s="782"/>
      <c r="HE30" s="782"/>
      <c r="HF30" s="782"/>
      <c r="HG30" s="782"/>
      <c r="HH30" s="782"/>
      <c r="HI30" s="782"/>
      <c r="HJ30" s="782"/>
      <c r="HK30" s="782"/>
      <c r="HL30" s="782"/>
      <c r="HM30" s="782"/>
      <c r="HN30" s="782"/>
      <c r="HO30" s="782"/>
      <c r="HP30" s="782"/>
      <c r="HQ30" s="782"/>
      <c r="HR30" s="782"/>
      <c r="HS30" s="782"/>
      <c r="HT30" s="782"/>
      <c r="HU30" s="782"/>
      <c r="HV30" s="782"/>
      <c r="HW30" s="782"/>
      <c r="HX30" s="782"/>
      <c r="HY30" s="782"/>
      <c r="HZ30" s="782"/>
      <c r="IA30" s="782"/>
      <c r="IB30" s="782"/>
      <c r="IC30" s="782"/>
      <c r="ID30" s="782"/>
      <c r="IE30" s="782"/>
      <c r="IF30" s="782"/>
      <c r="IG30" s="782"/>
      <c r="IH30" s="782"/>
      <c r="II30" s="782"/>
      <c r="IJ30" s="782"/>
      <c r="IK30" s="782"/>
      <c r="IL30" s="782"/>
      <c r="IM30" s="782"/>
      <c r="IN30" s="782"/>
      <c r="IO30" s="782"/>
      <c r="IP30" s="782"/>
      <c r="IQ30" s="782"/>
      <c r="IR30" s="782"/>
      <c r="IS30" s="782"/>
      <c r="IT30" s="782"/>
      <c r="IU30" s="782"/>
      <c r="IV30" s="782"/>
      <c r="IW30" s="782"/>
      <c r="IX30" s="782"/>
      <c r="IY30" s="782"/>
      <c r="IZ30" s="782"/>
      <c r="JA30" s="782"/>
      <c r="JB30" s="782"/>
      <c r="JC30" s="782"/>
      <c r="JD30" s="782"/>
      <c r="JE30" s="782"/>
      <c r="JF30" s="782"/>
      <c r="JG30" s="782"/>
      <c r="JH30" s="782"/>
      <c r="JI30" s="782"/>
      <c r="JJ30" s="782"/>
      <c r="JK30" s="782"/>
      <c r="JL30" s="782"/>
      <c r="JM30" s="782"/>
      <c r="JN30" s="782"/>
      <c r="JO30" s="782"/>
      <c r="JP30" s="782"/>
      <c r="JQ30" s="782"/>
      <c r="JR30" s="782"/>
      <c r="JS30" s="782"/>
      <c r="JT30" s="782"/>
      <c r="JU30" s="782"/>
      <c r="JV30" s="782"/>
      <c r="JW30" s="782"/>
      <c r="JX30" s="782"/>
      <c r="JY30" s="782"/>
      <c r="JZ30" s="782"/>
      <c r="KA30" s="782"/>
      <c r="KB30" s="782"/>
      <c r="KC30" s="782"/>
      <c r="KD30" s="782"/>
      <c r="KE30" s="782"/>
      <c r="KF30" s="782"/>
      <c r="KG30" s="782"/>
      <c r="KH30" s="782"/>
      <c r="KI30" s="782"/>
      <c r="KJ30" s="782"/>
      <c r="KK30" s="782"/>
      <c r="KL30" s="782"/>
      <c r="KM30" s="782"/>
      <c r="KN30" s="782"/>
      <c r="KO30" s="782"/>
      <c r="KP30" s="782"/>
      <c r="KQ30" s="782"/>
      <c r="KR30" s="782"/>
      <c r="KS30" s="782"/>
      <c r="KT30" s="782"/>
      <c r="KU30" s="782"/>
      <c r="KV30" s="782"/>
      <c r="KW30" s="782"/>
      <c r="KX30" s="782"/>
      <c r="KY30" s="782"/>
      <c r="KZ30" s="782"/>
      <c r="LA30" s="782"/>
      <c r="LB30" s="782"/>
      <c r="LC30" s="782"/>
      <c r="LD30" s="782"/>
      <c r="LE30" s="782"/>
      <c r="LF30" s="782"/>
      <c r="LG30" s="782"/>
      <c r="LH30" s="782"/>
      <c r="LI30" s="782"/>
      <c r="LJ30" s="782"/>
      <c r="LK30" s="782"/>
      <c r="LL30" s="782"/>
      <c r="LM30" s="782"/>
      <c r="LN30" s="782"/>
      <c r="LO30" s="782"/>
      <c r="LP30" s="782"/>
      <c r="LQ30" s="782"/>
      <c r="LR30" s="782"/>
      <c r="LS30" s="782"/>
      <c r="LT30" s="782"/>
      <c r="LU30" s="782"/>
      <c r="LV30" s="782"/>
      <c r="LW30" s="782"/>
      <c r="LX30" s="782"/>
      <c r="LY30" s="782"/>
      <c r="LZ30" s="782"/>
      <c r="MA30" s="782"/>
      <c r="MB30" s="782"/>
      <c r="MC30" s="782"/>
      <c r="MD30" s="782"/>
      <c r="ME30" s="782"/>
      <c r="MF30" s="782"/>
      <c r="MG30" s="782"/>
      <c r="MH30" s="782"/>
      <c r="MI30" s="782"/>
      <c r="MJ30" s="782"/>
      <c r="MK30" s="782"/>
      <c r="ML30" s="782"/>
      <c r="MM30" s="782"/>
      <c r="MN30" s="782"/>
      <c r="MO30" s="782"/>
      <c r="MP30" s="782"/>
      <c r="MQ30" s="782"/>
      <c r="MR30" s="782"/>
      <c r="MS30" s="782"/>
      <c r="MT30" s="782"/>
      <c r="MU30" s="782"/>
      <c r="MV30" s="782"/>
      <c r="MW30" s="782"/>
      <c r="MX30" s="782"/>
      <c r="MY30" s="782"/>
      <c r="MZ30" s="782"/>
      <c r="NA30" s="782"/>
      <c r="NB30" s="782"/>
      <c r="NC30" s="782"/>
      <c r="ND30" s="782"/>
      <c r="NE30" s="782"/>
      <c r="NF30" s="782"/>
      <c r="NG30" s="782"/>
      <c r="NH30" s="782"/>
      <c r="NI30" s="782"/>
      <c r="NJ30" s="782"/>
      <c r="NK30" s="782"/>
      <c r="NL30" s="782"/>
      <c r="NM30" s="782"/>
      <c r="NN30" s="782"/>
      <c r="NO30" s="782"/>
      <c r="NP30" s="782"/>
      <c r="NQ30" s="782"/>
      <c r="NR30" s="782"/>
      <c r="NS30" s="782"/>
      <c r="NT30" s="782"/>
      <c r="NU30" s="782"/>
      <c r="NV30" s="782"/>
      <c r="NW30" s="782"/>
      <c r="NX30" s="782"/>
      <c r="NY30" s="782"/>
      <c r="NZ30" s="782"/>
      <c r="OA30" s="782"/>
      <c r="OB30" s="782"/>
      <c r="OC30" s="782"/>
      <c r="OD30" s="782"/>
      <c r="OE30" s="782"/>
      <c r="OF30" s="782"/>
      <c r="OG30" s="782"/>
      <c r="OH30" s="782"/>
      <c r="OI30" s="782"/>
      <c r="OJ30" s="782"/>
      <c r="OK30" s="782"/>
      <c r="OL30" s="782"/>
      <c r="OM30" s="782"/>
      <c r="ON30" s="782"/>
      <c r="OO30" s="782"/>
      <c r="OP30" s="782"/>
      <c r="OQ30" s="782"/>
      <c r="OR30" s="782"/>
      <c r="OS30" s="782"/>
      <c r="OT30" s="782"/>
      <c r="OU30" s="782"/>
      <c r="OV30" s="782"/>
      <c r="OW30" s="782"/>
      <c r="OX30" s="782"/>
      <c r="OY30" s="782"/>
      <c r="OZ30" s="782"/>
      <c r="PA30" s="782"/>
      <c r="PB30" s="782"/>
      <c r="PC30" s="782"/>
      <c r="PD30" s="782"/>
      <c r="PE30" s="782"/>
      <c r="PF30" s="782"/>
      <c r="PG30" s="782"/>
      <c r="PH30" s="782"/>
      <c r="PI30" s="782"/>
      <c r="PJ30" s="782"/>
      <c r="PK30" s="782"/>
      <c r="PL30" s="782"/>
      <c r="PM30" s="782"/>
      <c r="PN30" s="782"/>
      <c r="PO30" s="782"/>
    </row>
    <row r="31" spans="1:431" s="143" customFormat="1">
      <c r="A31" s="782"/>
      <c r="B31" s="782"/>
      <c r="C31" s="785"/>
      <c r="D31" s="785"/>
      <c r="E31" s="785"/>
      <c r="F31" s="785"/>
      <c r="G31" s="785"/>
      <c r="H31" s="785"/>
      <c r="I31" s="785"/>
      <c r="J31" s="785"/>
      <c r="K31" s="785"/>
      <c r="L31" s="785"/>
      <c r="M31" s="782"/>
      <c r="N31" s="782"/>
      <c r="O31" s="782"/>
      <c r="P31" s="782"/>
      <c r="Q31" s="782"/>
      <c r="R31" s="782"/>
      <c r="S31" s="782"/>
      <c r="T31" s="782"/>
      <c r="U31" s="782"/>
      <c r="V31" s="782"/>
      <c r="W31" s="782"/>
      <c r="X31" s="782"/>
      <c r="Y31" s="782"/>
      <c r="Z31" s="782"/>
      <c r="AA31" s="782"/>
      <c r="AB31" s="782"/>
      <c r="AC31" s="782"/>
      <c r="AD31" s="782"/>
      <c r="AE31" s="782"/>
      <c r="AF31" s="782"/>
      <c r="AG31" s="782"/>
      <c r="AH31" s="782"/>
      <c r="AI31" s="782"/>
      <c r="AJ31" s="782"/>
      <c r="AK31" s="782"/>
      <c r="AL31" s="782"/>
      <c r="AM31" s="782"/>
      <c r="AN31" s="782"/>
      <c r="AO31" s="782"/>
      <c r="AP31" s="782"/>
      <c r="AQ31" s="782"/>
      <c r="AR31" s="782"/>
      <c r="AS31" s="782"/>
      <c r="AT31" s="782"/>
      <c r="AU31" s="782"/>
      <c r="AV31" s="782"/>
      <c r="AW31" s="782"/>
      <c r="AX31" s="782"/>
      <c r="AY31" s="782"/>
      <c r="AZ31" s="782"/>
      <c r="BA31" s="782"/>
      <c r="BB31" s="782"/>
      <c r="BC31" s="782"/>
      <c r="BD31" s="782"/>
      <c r="BE31" s="782"/>
      <c r="BF31" s="782"/>
      <c r="BG31" s="782"/>
      <c r="BH31" s="782"/>
      <c r="BI31" s="782"/>
      <c r="BJ31" s="782"/>
      <c r="BK31" s="782"/>
      <c r="BL31" s="782"/>
      <c r="BM31" s="782"/>
      <c r="BN31" s="782"/>
      <c r="BO31" s="782"/>
      <c r="BP31" s="782"/>
      <c r="BQ31" s="782"/>
      <c r="BR31" s="782"/>
      <c r="BS31" s="782"/>
      <c r="BT31" s="782"/>
      <c r="BU31" s="782"/>
      <c r="BV31" s="782"/>
      <c r="BW31" s="782"/>
      <c r="BX31" s="782"/>
      <c r="BY31" s="782"/>
      <c r="BZ31" s="782"/>
      <c r="CA31" s="782"/>
      <c r="CB31" s="782"/>
      <c r="CC31" s="782"/>
      <c r="CD31" s="782"/>
      <c r="CE31" s="782"/>
      <c r="CF31" s="782"/>
      <c r="CG31" s="782"/>
      <c r="CH31" s="782"/>
      <c r="CI31" s="782"/>
      <c r="CJ31" s="782"/>
      <c r="CK31" s="782"/>
      <c r="CL31" s="782"/>
      <c r="CM31" s="782"/>
      <c r="CN31" s="782"/>
      <c r="CO31" s="782"/>
      <c r="CP31" s="782"/>
      <c r="CQ31" s="782"/>
      <c r="CR31" s="782"/>
      <c r="CS31" s="782"/>
      <c r="CT31" s="782"/>
      <c r="CU31" s="782"/>
      <c r="CV31" s="782"/>
      <c r="CW31" s="782"/>
      <c r="CX31" s="782"/>
      <c r="CY31" s="782"/>
      <c r="CZ31" s="782"/>
      <c r="DA31" s="782"/>
      <c r="DB31" s="782"/>
      <c r="DC31" s="782"/>
      <c r="DD31" s="782"/>
      <c r="DE31" s="782"/>
      <c r="DF31" s="782"/>
      <c r="DG31" s="782"/>
      <c r="DH31" s="782"/>
      <c r="DI31" s="782"/>
      <c r="DJ31" s="782"/>
      <c r="DK31" s="782"/>
      <c r="DL31" s="782"/>
      <c r="DM31" s="782"/>
      <c r="DN31" s="782"/>
      <c r="DO31" s="782"/>
      <c r="DP31" s="782"/>
      <c r="DQ31" s="782"/>
      <c r="DR31" s="782"/>
      <c r="DS31" s="782"/>
      <c r="DT31" s="782"/>
      <c r="DU31" s="782"/>
      <c r="DV31" s="782"/>
      <c r="DW31" s="782"/>
      <c r="DX31" s="782"/>
      <c r="DY31" s="782"/>
      <c r="DZ31" s="782"/>
      <c r="EA31" s="782"/>
      <c r="EB31" s="782"/>
      <c r="EC31" s="782"/>
      <c r="ED31" s="782"/>
      <c r="EE31" s="782"/>
      <c r="EF31" s="782"/>
      <c r="EG31" s="782"/>
      <c r="EH31" s="782"/>
      <c r="EI31" s="782"/>
      <c r="EJ31" s="782"/>
      <c r="EK31" s="782"/>
      <c r="EL31" s="782"/>
      <c r="EM31" s="782"/>
      <c r="EN31" s="782"/>
      <c r="EO31" s="782"/>
      <c r="EP31" s="782"/>
      <c r="EQ31" s="782"/>
      <c r="ER31" s="782"/>
      <c r="ES31" s="782"/>
      <c r="ET31" s="782"/>
      <c r="EU31" s="782"/>
      <c r="EV31" s="782"/>
      <c r="EW31" s="782"/>
      <c r="EX31" s="782"/>
      <c r="EY31" s="782"/>
      <c r="EZ31" s="782"/>
      <c r="FA31" s="782"/>
      <c r="FB31" s="782"/>
      <c r="FC31" s="782"/>
      <c r="FD31" s="782"/>
      <c r="FE31" s="782"/>
      <c r="FF31" s="782"/>
      <c r="FG31" s="782"/>
      <c r="FH31" s="782"/>
      <c r="FI31" s="782"/>
      <c r="FJ31" s="782"/>
      <c r="FK31" s="782"/>
      <c r="FL31" s="782"/>
      <c r="FM31" s="782"/>
      <c r="FN31" s="782"/>
      <c r="FO31" s="782"/>
      <c r="FP31" s="782"/>
      <c r="FQ31" s="782"/>
      <c r="FR31" s="782"/>
      <c r="FS31" s="782"/>
      <c r="FT31" s="782"/>
      <c r="FU31" s="782"/>
      <c r="FV31" s="782"/>
      <c r="FW31" s="782"/>
      <c r="FX31" s="782"/>
      <c r="FY31" s="782"/>
      <c r="FZ31" s="782"/>
      <c r="GA31" s="782"/>
      <c r="GB31" s="782"/>
      <c r="GC31" s="782"/>
      <c r="GD31" s="782"/>
      <c r="GE31" s="782"/>
      <c r="GF31" s="782"/>
      <c r="GG31" s="782"/>
      <c r="GH31" s="782"/>
      <c r="GI31" s="782"/>
      <c r="GJ31" s="782"/>
      <c r="GK31" s="782"/>
      <c r="GL31" s="782"/>
      <c r="GM31" s="782"/>
      <c r="GN31" s="782"/>
      <c r="GO31" s="782"/>
      <c r="GP31" s="782"/>
      <c r="GQ31" s="782"/>
      <c r="GR31" s="782"/>
      <c r="GS31" s="782"/>
      <c r="GT31" s="782"/>
      <c r="GU31" s="782"/>
      <c r="GV31" s="782"/>
      <c r="GW31" s="782"/>
      <c r="GX31" s="782"/>
      <c r="GY31" s="782"/>
      <c r="GZ31" s="782"/>
      <c r="HA31" s="782"/>
      <c r="HB31" s="782"/>
      <c r="HC31" s="782"/>
      <c r="HD31" s="782"/>
      <c r="HE31" s="782"/>
      <c r="HF31" s="782"/>
      <c r="HG31" s="782"/>
      <c r="HH31" s="782"/>
      <c r="HI31" s="782"/>
      <c r="HJ31" s="782"/>
      <c r="HK31" s="782"/>
      <c r="HL31" s="782"/>
      <c r="HM31" s="782"/>
      <c r="HN31" s="782"/>
      <c r="HO31" s="782"/>
      <c r="HP31" s="782"/>
      <c r="HQ31" s="782"/>
      <c r="HR31" s="782"/>
      <c r="HS31" s="782"/>
      <c r="HT31" s="782"/>
      <c r="HU31" s="782"/>
      <c r="HV31" s="782"/>
      <c r="HW31" s="782"/>
      <c r="HX31" s="782"/>
      <c r="HY31" s="782"/>
      <c r="HZ31" s="782"/>
      <c r="IA31" s="782"/>
      <c r="IB31" s="782"/>
      <c r="IC31" s="782"/>
      <c r="ID31" s="782"/>
      <c r="IE31" s="782"/>
      <c r="IF31" s="782"/>
      <c r="IG31" s="782"/>
      <c r="IH31" s="782"/>
      <c r="II31" s="782"/>
      <c r="IJ31" s="782"/>
      <c r="IK31" s="782"/>
      <c r="IL31" s="782"/>
      <c r="IM31" s="782"/>
      <c r="IN31" s="782"/>
      <c r="IO31" s="782"/>
      <c r="IP31" s="782"/>
      <c r="IQ31" s="782"/>
      <c r="IR31" s="782"/>
      <c r="IS31" s="782"/>
      <c r="IT31" s="782"/>
      <c r="IU31" s="782"/>
      <c r="IV31" s="782"/>
      <c r="IW31" s="782"/>
      <c r="IX31" s="782"/>
      <c r="IY31" s="782"/>
      <c r="IZ31" s="782"/>
      <c r="JA31" s="782"/>
      <c r="JB31" s="782"/>
      <c r="JC31" s="782"/>
      <c r="JD31" s="782"/>
      <c r="JE31" s="782"/>
      <c r="JF31" s="782"/>
      <c r="JG31" s="782"/>
      <c r="JH31" s="782"/>
      <c r="JI31" s="782"/>
      <c r="JJ31" s="782"/>
      <c r="JK31" s="782"/>
      <c r="JL31" s="782"/>
      <c r="JM31" s="782"/>
      <c r="JN31" s="782"/>
      <c r="JO31" s="782"/>
      <c r="JP31" s="782"/>
      <c r="JQ31" s="782"/>
      <c r="JR31" s="782"/>
      <c r="JS31" s="782"/>
      <c r="JT31" s="782"/>
      <c r="JU31" s="782"/>
      <c r="JV31" s="782"/>
      <c r="JW31" s="782"/>
      <c r="JX31" s="782"/>
      <c r="JY31" s="782"/>
      <c r="JZ31" s="782"/>
      <c r="KA31" s="782"/>
      <c r="KB31" s="782"/>
      <c r="KC31" s="782"/>
      <c r="KD31" s="782"/>
      <c r="KE31" s="782"/>
      <c r="KF31" s="782"/>
      <c r="KG31" s="782"/>
      <c r="KH31" s="782"/>
      <c r="KI31" s="782"/>
      <c r="KJ31" s="782"/>
      <c r="KK31" s="782"/>
      <c r="KL31" s="782"/>
      <c r="KM31" s="782"/>
      <c r="KN31" s="782"/>
      <c r="KO31" s="782"/>
      <c r="KP31" s="782"/>
      <c r="KQ31" s="782"/>
      <c r="KR31" s="782"/>
      <c r="KS31" s="782"/>
      <c r="KT31" s="782"/>
      <c r="KU31" s="782"/>
      <c r="KV31" s="782"/>
      <c r="KW31" s="782"/>
      <c r="KX31" s="782"/>
      <c r="KY31" s="782"/>
      <c r="KZ31" s="782"/>
      <c r="LA31" s="782"/>
      <c r="LB31" s="782"/>
      <c r="LC31" s="782"/>
      <c r="LD31" s="782"/>
      <c r="LE31" s="782"/>
      <c r="LF31" s="782"/>
      <c r="LG31" s="782"/>
      <c r="LH31" s="782"/>
      <c r="LI31" s="782"/>
      <c r="LJ31" s="782"/>
      <c r="LK31" s="782"/>
      <c r="LL31" s="782"/>
      <c r="LM31" s="782"/>
      <c r="LN31" s="782"/>
      <c r="LO31" s="782"/>
      <c r="LP31" s="782"/>
      <c r="LQ31" s="782"/>
      <c r="LR31" s="782"/>
      <c r="LS31" s="782"/>
      <c r="LT31" s="782"/>
      <c r="LU31" s="782"/>
      <c r="LV31" s="782"/>
      <c r="LW31" s="782"/>
      <c r="LX31" s="782"/>
      <c r="LY31" s="782"/>
      <c r="LZ31" s="782"/>
      <c r="MA31" s="782"/>
      <c r="MB31" s="782"/>
      <c r="MC31" s="782"/>
      <c r="MD31" s="782"/>
      <c r="ME31" s="782"/>
      <c r="MF31" s="782"/>
      <c r="MG31" s="782"/>
      <c r="MH31" s="782"/>
      <c r="MI31" s="782"/>
      <c r="MJ31" s="782"/>
      <c r="MK31" s="782"/>
      <c r="ML31" s="782"/>
      <c r="MM31" s="782"/>
      <c r="MN31" s="782"/>
      <c r="MO31" s="782"/>
      <c r="MP31" s="782"/>
      <c r="MQ31" s="782"/>
      <c r="MR31" s="782"/>
      <c r="MS31" s="782"/>
      <c r="MT31" s="782"/>
      <c r="MU31" s="782"/>
      <c r="MV31" s="782"/>
      <c r="MW31" s="782"/>
      <c r="MX31" s="782"/>
      <c r="MY31" s="782"/>
      <c r="MZ31" s="782"/>
      <c r="NA31" s="782"/>
      <c r="NB31" s="782"/>
      <c r="NC31" s="782"/>
      <c r="ND31" s="782"/>
      <c r="NE31" s="782"/>
      <c r="NF31" s="782"/>
      <c r="NG31" s="782"/>
      <c r="NH31" s="782"/>
      <c r="NI31" s="782"/>
      <c r="NJ31" s="782"/>
      <c r="NK31" s="782"/>
      <c r="NL31" s="782"/>
      <c r="NM31" s="782"/>
      <c r="NN31" s="782"/>
      <c r="NO31" s="782"/>
      <c r="NP31" s="782"/>
      <c r="NQ31" s="782"/>
      <c r="NR31" s="782"/>
      <c r="NS31" s="782"/>
      <c r="NT31" s="782"/>
      <c r="NU31" s="782"/>
      <c r="NV31" s="782"/>
      <c r="NW31" s="782"/>
      <c r="NX31" s="782"/>
      <c r="NY31" s="782"/>
      <c r="NZ31" s="782"/>
      <c r="OA31" s="782"/>
      <c r="OB31" s="782"/>
      <c r="OC31" s="782"/>
      <c r="OD31" s="782"/>
      <c r="OE31" s="782"/>
      <c r="OF31" s="782"/>
      <c r="OG31" s="782"/>
      <c r="OH31" s="782"/>
      <c r="OI31" s="782"/>
      <c r="OJ31" s="782"/>
      <c r="OK31" s="782"/>
      <c r="OL31" s="782"/>
      <c r="OM31" s="782"/>
      <c r="ON31" s="782"/>
      <c r="OO31" s="782"/>
      <c r="OP31" s="782"/>
      <c r="OQ31" s="782"/>
      <c r="OR31" s="782"/>
      <c r="OS31" s="782"/>
      <c r="OT31" s="782"/>
      <c r="OU31" s="782"/>
      <c r="OV31" s="782"/>
      <c r="OW31" s="782"/>
      <c r="OX31" s="782"/>
      <c r="OY31" s="782"/>
      <c r="OZ31" s="782"/>
      <c r="PA31" s="782"/>
      <c r="PB31" s="782"/>
      <c r="PC31" s="782"/>
      <c r="PD31" s="782"/>
      <c r="PE31" s="782"/>
      <c r="PF31" s="782"/>
      <c r="PG31" s="782"/>
      <c r="PH31" s="782"/>
      <c r="PI31" s="782"/>
      <c r="PJ31" s="782"/>
      <c r="PK31" s="782"/>
      <c r="PL31" s="782"/>
      <c r="PM31" s="782"/>
      <c r="PN31" s="782"/>
      <c r="PO31" s="782"/>
    </row>
    <row r="32" spans="1:431" s="143" customFormat="1">
      <c r="A32" s="782"/>
      <c r="B32" s="782"/>
      <c r="C32" s="785"/>
      <c r="D32" s="785"/>
      <c r="E32" s="785"/>
      <c r="F32" s="785"/>
      <c r="G32" s="785"/>
      <c r="H32" s="785"/>
      <c r="I32" s="785"/>
      <c r="J32" s="785"/>
      <c r="K32" s="785"/>
      <c r="L32" s="785"/>
      <c r="M32" s="782"/>
      <c r="N32" s="782"/>
      <c r="O32" s="782"/>
      <c r="P32" s="782"/>
      <c r="Q32" s="782"/>
      <c r="R32" s="782"/>
      <c r="S32" s="782"/>
      <c r="T32" s="782"/>
      <c r="U32" s="782"/>
      <c r="V32" s="782"/>
      <c r="W32" s="782"/>
      <c r="X32" s="782"/>
      <c r="Y32" s="782"/>
      <c r="Z32" s="782"/>
      <c r="AA32" s="782"/>
      <c r="AB32" s="782"/>
      <c r="AC32" s="782"/>
      <c r="AD32" s="782"/>
      <c r="AE32" s="782"/>
      <c r="AF32" s="782"/>
      <c r="AG32" s="782"/>
      <c r="AH32" s="782"/>
      <c r="AI32" s="782"/>
      <c r="AJ32" s="782"/>
      <c r="AK32" s="782"/>
      <c r="AL32" s="782"/>
      <c r="AM32" s="782"/>
      <c r="AN32" s="782"/>
      <c r="AO32" s="782"/>
      <c r="AP32" s="782"/>
      <c r="AQ32" s="782"/>
      <c r="AR32" s="782"/>
      <c r="AS32" s="782"/>
      <c r="AT32" s="782"/>
      <c r="AU32" s="782"/>
      <c r="AV32" s="782"/>
      <c r="AW32" s="782"/>
      <c r="AX32" s="782"/>
      <c r="AY32" s="782"/>
      <c r="AZ32" s="782"/>
      <c r="BA32" s="782"/>
      <c r="BB32" s="782"/>
      <c r="BC32" s="782"/>
      <c r="BD32" s="782"/>
      <c r="BE32" s="782"/>
      <c r="BF32" s="782"/>
      <c r="BG32" s="782"/>
      <c r="BH32" s="782"/>
      <c r="BI32" s="782"/>
      <c r="BJ32" s="782"/>
      <c r="BK32" s="782"/>
      <c r="BL32" s="782"/>
      <c r="BM32" s="782"/>
      <c r="BN32" s="782"/>
      <c r="BO32" s="782"/>
      <c r="BP32" s="782"/>
      <c r="BQ32" s="782"/>
      <c r="BR32" s="782"/>
      <c r="BS32" s="782"/>
      <c r="BT32" s="782"/>
      <c r="BU32" s="782"/>
      <c r="BV32" s="782"/>
      <c r="BW32" s="782"/>
      <c r="BX32" s="782"/>
      <c r="BY32" s="782"/>
      <c r="BZ32" s="782"/>
      <c r="CA32" s="782"/>
      <c r="CB32" s="782"/>
      <c r="CC32" s="782"/>
      <c r="CD32" s="782"/>
      <c r="CE32" s="782"/>
      <c r="CF32" s="782"/>
      <c r="CG32" s="782"/>
      <c r="CH32" s="782"/>
      <c r="CI32" s="782"/>
      <c r="CJ32" s="782"/>
      <c r="CK32" s="782"/>
      <c r="CL32" s="782"/>
      <c r="CM32" s="782"/>
      <c r="CN32" s="782"/>
      <c r="CO32" s="782"/>
      <c r="CP32" s="782"/>
      <c r="CQ32" s="782"/>
      <c r="CR32" s="782"/>
      <c r="CS32" s="782"/>
      <c r="CT32" s="782"/>
      <c r="CU32" s="782"/>
      <c r="CV32" s="782"/>
      <c r="CW32" s="782"/>
      <c r="CX32" s="782"/>
      <c r="CY32" s="782"/>
      <c r="CZ32" s="782"/>
      <c r="DA32" s="782"/>
      <c r="DB32" s="782"/>
      <c r="DC32" s="782"/>
      <c r="DD32" s="782"/>
      <c r="DE32" s="782"/>
      <c r="DF32" s="782"/>
      <c r="DG32" s="782"/>
      <c r="DH32" s="782"/>
      <c r="DI32" s="782"/>
      <c r="DJ32" s="782"/>
      <c r="DK32" s="782"/>
      <c r="DL32" s="782"/>
      <c r="DM32" s="782"/>
      <c r="DN32" s="782"/>
      <c r="DO32" s="782"/>
      <c r="DP32" s="782"/>
      <c r="DQ32" s="782"/>
      <c r="DR32" s="782"/>
      <c r="DS32" s="782"/>
      <c r="DT32" s="782"/>
      <c r="DU32" s="782"/>
      <c r="DV32" s="782"/>
      <c r="DW32" s="782"/>
      <c r="DX32" s="782"/>
      <c r="DY32" s="782"/>
      <c r="DZ32" s="782"/>
      <c r="EA32" s="782"/>
      <c r="EB32" s="782"/>
      <c r="EC32" s="782"/>
      <c r="ED32" s="782"/>
      <c r="EE32" s="782"/>
      <c r="EF32" s="782"/>
      <c r="EG32" s="782"/>
      <c r="EH32" s="782"/>
      <c r="EI32" s="782"/>
      <c r="EJ32" s="782"/>
      <c r="EK32" s="782"/>
      <c r="EL32" s="782"/>
      <c r="EM32" s="782"/>
      <c r="EN32" s="782"/>
      <c r="EO32" s="782"/>
      <c r="EP32" s="782"/>
      <c r="EQ32" s="782"/>
      <c r="ER32" s="782"/>
      <c r="ES32" s="782"/>
      <c r="ET32" s="782"/>
      <c r="EU32" s="782"/>
      <c r="EV32" s="782"/>
      <c r="EW32" s="782"/>
      <c r="EX32" s="782"/>
      <c r="EY32" s="782"/>
      <c r="EZ32" s="782"/>
      <c r="FA32" s="782"/>
      <c r="FB32" s="782"/>
      <c r="FC32" s="782"/>
      <c r="FD32" s="782"/>
      <c r="FE32" s="782"/>
      <c r="FF32" s="782"/>
      <c r="FG32" s="782"/>
      <c r="FH32" s="782"/>
      <c r="FI32" s="782"/>
      <c r="FJ32" s="782"/>
      <c r="FK32" s="782"/>
      <c r="FL32" s="782"/>
      <c r="FM32" s="782"/>
      <c r="FN32" s="782"/>
      <c r="FO32" s="782"/>
      <c r="FP32" s="782"/>
      <c r="FQ32" s="782"/>
      <c r="FR32" s="782"/>
      <c r="FS32" s="782"/>
      <c r="FT32" s="782"/>
      <c r="FU32" s="782"/>
      <c r="FV32" s="782"/>
      <c r="FW32" s="782"/>
      <c r="FX32" s="782"/>
      <c r="FY32" s="782"/>
      <c r="FZ32" s="782"/>
      <c r="GA32" s="782"/>
      <c r="GB32" s="782"/>
      <c r="GC32" s="782"/>
      <c r="GD32" s="782"/>
      <c r="GE32" s="782"/>
      <c r="GF32" s="782"/>
      <c r="GG32" s="782"/>
      <c r="GH32" s="782"/>
      <c r="GI32" s="782"/>
      <c r="GJ32" s="782"/>
      <c r="GK32" s="782"/>
      <c r="GL32" s="782"/>
      <c r="GM32" s="782"/>
      <c r="GN32" s="782"/>
      <c r="GO32" s="782"/>
      <c r="GP32" s="782"/>
      <c r="GQ32" s="782"/>
      <c r="GR32" s="782"/>
      <c r="GS32" s="782"/>
      <c r="GT32" s="782"/>
      <c r="GU32" s="782"/>
      <c r="GV32" s="782"/>
      <c r="GW32" s="782"/>
      <c r="GX32" s="782"/>
      <c r="GY32" s="782"/>
      <c r="GZ32" s="782"/>
      <c r="HA32" s="782"/>
      <c r="HB32" s="782"/>
      <c r="HC32" s="782"/>
      <c r="HD32" s="782"/>
      <c r="HE32" s="782"/>
      <c r="HF32" s="782"/>
      <c r="HG32" s="782"/>
      <c r="HH32" s="782"/>
      <c r="HI32" s="782"/>
      <c r="HJ32" s="782"/>
      <c r="HK32" s="782"/>
      <c r="HL32" s="782"/>
      <c r="HM32" s="782"/>
      <c r="HN32" s="782"/>
      <c r="HO32" s="782"/>
      <c r="HP32" s="782"/>
      <c r="HQ32" s="782"/>
      <c r="HR32" s="782"/>
      <c r="HS32" s="782"/>
      <c r="HT32" s="782"/>
      <c r="HU32" s="782"/>
      <c r="HV32" s="782"/>
      <c r="HW32" s="782"/>
      <c r="HX32" s="782"/>
      <c r="HY32" s="782"/>
      <c r="HZ32" s="782"/>
      <c r="IA32" s="782"/>
      <c r="IB32" s="782"/>
      <c r="IC32" s="782"/>
      <c r="ID32" s="782"/>
      <c r="IE32" s="782"/>
      <c r="IF32" s="782"/>
      <c r="IG32" s="782"/>
      <c r="IH32" s="782"/>
      <c r="II32" s="782"/>
      <c r="IJ32" s="782"/>
      <c r="IK32" s="782"/>
      <c r="IL32" s="782"/>
      <c r="IM32" s="782"/>
      <c r="IN32" s="782"/>
      <c r="IO32" s="782"/>
      <c r="IP32" s="782"/>
      <c r="IQ32" s="782"/>
      <c r="IR32" s="782"/>
      <c r="IS32" s="782"/>
      <c r="IT32" s="782"/>
      <c r="IU32" s="782"/>
      <c r="IV32" s="782"/>
      <c r="IW32" s="782"/>
      <c r="IX32" s="782"/>
      <c r="IY32" s="782"/>
      <c r="IZ32" s="782"/>
      <c r="JA32" s="782"/>
      <c r="JB32" s="782"/>
      <c r="JC32" s="782"/>
      <c r="JD32" s="782"/>
      <c r="JE32" s="782"/>
      <c r="JF32" s="782"/>
      <c r="JG32" s="782"/>
      <c r="JH32" s="782"/>
      <c r="JI32" s="782"/>
      <c r="JJ32" s="782"/>
      <c r="JK32" s="782"/>
      <c r="JL32" s="782"/>
      <c r="JM32" s="782"/>
      <c r="JN32" s="782"/>
      <c r="JO32" s="782"/>
      <c r="JP32" s="782"/>
      <c r="JQ32" s="782"/>
      <c r="JR32" s="782"/>
      <c r="JS32" s="782"/>
      <c r="JT32" s="782"/>
      <c r="JU32" s="782"/>
      <c r="JV32" s="782"/>
      <c r="JW32" s="782"/>
      <c r="JX32" s="782"/>
      <c r="JY32" s="782"/>
      <c r="JZ32" s="782"/>
      <c r="KA32" s="782"/>
      <c r="KB32" s="782"/>
      <c r="KC32" s="782"/>
      <c r="KD32" s="782"/>
      <c r="KE32" s="782"/>
      <c r="KF32" s="782"/>
      <c r="KG32" s="782"/>
      <c r="KH32" s="782"/>
      <c r="KI32" s="782"/>
      <c r="KJ32" s="782"/>
      <c r="KK32" s="782"/>
      <c r="KL32" s="782"/>
      <c r="KM32" s="782"/>
      <c r="KN32" s="782"/>
      <c r="KO32" s="782"/>
      <c r="KP32" s="782"/>
      <c r="KQ32" s="782"/>
      <c r="KR32" s="782"/>
      <c r="KS32" s="782"/>
      <c r="KT32" s="782"/>
      <c r="KU32" s="782"/>
      <c r="KV32" s="782"/>
      <c r="KW32" s="782"/>
      <c r="KX32" s="782"/>
      <c r="KY32" s="782"/>
      <c r="KZ32" s="782"/>
      <c r="LA32" s="782"/>
      <c r="LB32" s="782"/>
      <c r="LC32" s="782"/>
      <c r="LD32" s="782"/>
      <c r="LE32" s="782"/>
      <c r="LF32" s="782"/>
      <c r="LG32" s="782"/>
      <c r="LH32" s="782"/>
      <c r="LI32" s="782"/>
      <c r="LJ32" s="782"/>
      <c r="LK32" s="782"/>
      <c r="LL32" s="782"/>
      <c r="LM32" s="782"/>
      <c r="LN32" s="782"/>
      <c r="LO32" s="782"/>
      <c r="LP32" s="782"/>
      <c r="LQ32" s="782"/>
      <c r="LR32" s="782"/>
      <c r="LS32" s="782"/>
      <c r="LT32" s="782"/>
      <c r="LU32" s="782"/>
      <c r="LV32" s="782"/>
      <c r="LW32" s="782"/>
      <c r="LX32" s="782"/>
      <c r="LY32" s="782"/>
      <c r="LZ32" s="782"/>
      <c r="MA32" s="782"/>
      <c r="MB32" s="782"/>
      <c r="MC32" s="782"/>
      <c r="MD32" s="782"/>
      <c r="ME32" s="782"/>
      <c r="MF32" s="782"/>
      <c r="MG32" s="782"/>
      <c r="MH32" s="782"/>
      <c r="MI32" s="782"/>
      <c r="MJ32" s="782"/>
      <c r="MK32" s="782"/>
      <c r="ML32" s="782"/>
      <c r="MM32" s="782"/>
      <c r="MN32" s="782"/>
      <c r="MO32" s="782"/>
      <c r="MP32" s="782"/>
      <c r="MQ32" s="782"/>
      <c r="MR32" s="782"/>
      <c r="MS32" s="782"/>
      <c r="MT32" s="782"/>
      <c r="MU32" s="782"/>
      <c r="MV32" s="782"/>
      <c r="MW32" s="782"/>
      <c r="MX32" s="782"/>
      <c r="MY32" s="782"/>
      <c r="MZ32" s="782"/>
      <c r="NA32" s="782"/>
      <c r="NB32" s="782"/>
      <c r="NC32" s="782"/>
      <c r="ND32" s="782"/>
      <c r="NE32" s="782"/>
      <c r="NF32" s="782"/>
      <c r="NG32" s="782"/>
      <c r="NH32" s="782"/>
      <c r="NI32" s="782"/>
      <c r="NJ32" s="782"/>
      <c r="NK32" s="782"/>
      <c r="NL32" s="782"/>
      <c r="NM32" s="782"/>
      <c r="NN32" s="782"/>
      <c r="NO32" s="782"/>
      <c r="NP32" s="782"/>
      <c r="NQ32" s="782"/>
      <c r="NR32" s="782"/>
      <c r="NS32" s="782"/>
      <c r="NT32" s="782"/>
      <c r="NU32" s="782"/>
      <c r="NV32" s="782"/>
      <c r="NW32" s="782"/>
      <c r="NX32" s="782"/>
      <c r="NY32" s="782"/>
      <c r="NZ32" s="782"/>
      <c r="OA32" s="782"/>
      <c r="OB32" s="782"/>
      <c r="OC32" s="782"/>
      <c r="OD32" s="782"/>
      <c r="OE32" s="782"/>
      <c r="OF32" s="782"/>
      <c r="OG32" s="782"/>
      <c r="OH32" s="782"/>
      <c r="OI32" s="782"/>
      <c r="OJ32" s="782"/>
      <c r="OK32" s="782"/>
      <c r="OL32" s="782"/>
      <c r="OM32" s="782"/>
      <c r="ON32" s="782"/>
      <c r="OO32" s="782"/>
      <c r="OP32" s="782"/>
      <c r="OQ32" s="782"/>
      <c r="OR32" s="782"/>
      <c r="OS32" s="782"/>
      <c r="OT32" s="782"/>
      <c r="OU32" s="782"/>
      <c r="OV32" s="782"/>
      <c r="OW32" s="782"/>
      <c r="OX32" s="782"/>
      <c r="OY32" s="782"/>
      <c r="OZ32" s="782"/>
      <c r="PA32" s="782"/>
      <c r="PB32" s="782"/>
      <c r="PC32" s="782"/>
      <c r="PD32" s="782"/>
      <c r="PE32" s="782"/>
      <c r="PF32" s="782"/>
      <c r="PG32" s="782"/>
      <c r="PH32" s="782"/>
      <c r="PI32" s="782"/>
      <c r="PJ32" s="782"/>
      <c r="PK32" s="782"/>
      <c r="PL32" s="782"/>
      <c r="PM32" s="782"/>
      <c r="PN32" s="782"/>
      <c r="PO32" s="782"/>
    </row>
    <row r="33" spans="1:431" s="143" customFormat="1">
      <c r="A33" s="782"/>
      <c r="B33" s="782"/>
      <c r="C33" s="785"/>
      <c r="D33" s="785"/>
      <c r="E33" s="785"/>
      <c r="F33" s="785"/>
      <c r="G33" s="785"/>
      <c r="H33" s="785"/>
      <c r="I33" s="785"/>
      <c r="J33" s="785"/>
      <c r="K33" s="785"/>
      <c r="L33" s="785"/>
      <c r="M33" s="782"/>
      <c r="N33" s="782"/>
      <c r="O33" s="782"/>
      <c r="P33" s="782"/>
      <c r="Q33" s="782"/>
      <c r="R33" s="782"/>
      <c r="S33" s="782"/>
      <c r="T33" s="782"/>
      <c r="U33" s="782"/>
      <c r="V33" s="782"/>
      <c r="W33" s="782"/>
      <c r="X33" s="782"/>
      <c r="Y33" s="782"/>
      <c r="Z33" s="782"/>
      <c r="AA33" s="782"/>
      <c r="AB33" s="782"/>
      <c r="AC33" s="782"/>
      <c r="AD33" s="782"/>
      <c r="AE33" s="782"/>
      <c r="AF33" s="782"/>
      <c r="AG33" s="782"/>
      <c r="AH33" s="782"/>
      <c r="AI33" s="782"/>
      <c r="AJ33" s="782"/>
      <c r="AK33" s="782"/>
      <c r="AL33" s="782"/>
      <c r="AM33" s="782"/>
      <c r="AN33" s="782"/>
      <c r="AO33" s="782"/>
      <c r="AP33" s="782"/>
      <c r="AQ33" s="782"/>
      <c r="AR33" s="782"/>
      <c r="AS33" s="782"/>
      <c r="AT33" s="782"/>
      <c r="AU33" s="782"/>
      <c r="AV33" s="782"/>
      <c r="AW33" s="782"/>
      <c r="AX33" s="782"/>
      <c r="AY33" s="782"/>
      <c r="AZ33" s="782"/>
      <c r="BA33" s="782"/>
      <c r="BB33" s="782"/>
      <c r="BC33" s="782"/>
      <c r="BD33" s="782"/>
      <c r="BE33" s="782"/>
      <c r="BF33" s="782"/>
      <c r="BG33" s="782"/>
      <c r="BH33" s="782"/>
      <c r="BI33" s="782"/>
      <c r="BJ33" s="782"/>
      <c r="BK33" s="782"/>
      <c r="BL33" s="782"/>
      <c r="BM33" s="782"/>
      <c r="BN33" s="782"/>
      <c r="BO33" s="782"/>
      <c r="BP33" s="782"/>
      <c r="BQ33" s="782"/>
      <c r="BR33" s="782"/>
      <c r="BS33" s="782"/>
      <c r="BT33" s="782"/>
      <c r="BU33" s="782"/>
      <c r="BV33" s="782"/>
      <c r="BW33" s="782"/>
      <c r="BX33" s="782"/>
      <c r="BY33" s="782"/>
      <c r="BZ33" s="782"/>
      <c r="CA33" s="782"/>
      <c r="CB33" s="782"/>
      <c r="CC33" s="782"/>
      <c r="CD33" s="782"/>
      <c r="CE33" s="782"/>
      <c r="CF33" s="782"/>
      <c r="CG33" s="782"/>
      <c r="CH33" s="782"/>
      <c r="CI33" s="782"/>
      <c r="CJ33" s="782"/>
      <c r="CK33" s="782"/>
      <c r="CL33" s="782"/>
      <c r="CM33" s="782"/>
      <c r="CN33" s="782"/>
      <c r="CO33" s="782"/>
      <c r="CP33" s="782"/>
      <c r="CQ33" s="782"/>
      <c r="CR33" s="782"/>
      <c r="CS33" s="782"/>
      <c r="CT33" s="782"/>
      <c r="CU33" s="782"/>
      <c r="CV33" s="782"/>
      <c r="CW33" s="782"/>
      <c r="CX33" s="782"/>
      <c r="CY33" s="782"/>
      <c r="CZ33" s="782"/>
      <c r="DA33" s="782"/>
      <c r="DB33" s="782"/>
      <c r="DC33" s="782"/>
      <c r="DD33" s="782"/>
      <c r="DE33" s="782"/>
      <c r="DF33" s="782"/>
      <c r="DG33" s="782"/>
      <c r="DH33" s="782"/>
      <c r="DI33" s="782"/>
      <c r="DJ33" s="782"/>
      <c r="DK33" s="782"/>
      <c r="DL33" s="782"/>
      <c r="DM33" s="782"/>
      <c r="DN33" s="782"/>
      <c r="DO33" s="782"/>
      <c r="DP33" s="782"/>
      <c r="DQ33" s="782"/>
      <c r="DR33" s="782"/>
      <c r="DS33" s="782"/>
      <c r="DT33" s="782"/>
      <c r="DU33" s="782"/>
      <c r="DV33" s="782"/>
      <c r="DW33" s="782"/>
      <c r="DX33" s="782"/>
      <c r="DY33" s="782"/>
      <c r="DZ33" s="782"/>
      <c r="EA33" s="782"/>
      <c r="EB33" s="782"/>
      <c r="EC33" s="782"/>
      <c r="ED33" s="782"/>
      <c r="EE33" s="782"/>
      <c r="EF33" s="782"/>
      <c r="EG33" s="782"/>
      <c r="EH33" s="782"/>
      <c r="EI33" s="782"/>
      <c r="EJ33" s="782"/>
      <c r="EK33" s="782"/>
      <c r="EL33" s="782"/>
      <c r="EM33" s="782"/>
      <c r="EN33" s="782"/>
      <c r="EO33" s="782"/>
      <c r="EP33" s="782"/>
      <c r="EQ33" s="782"/>
      <c r="ER33" s="782"/>
      <c r="ES33" s="782"/>
      <c r="ET33" s="782"/>
      <c r="EU33" s="782"/>
      <c r="EV33" s="782"/>
      <c r="EW33" s="782"/>
      <c r="EX33" s="782"/>
      <c r="EY33" s="782"/>
      <c r="EZ33" s="782"/>
      <c r="FA33" s="782"/>
      <c r="FB33" s="782"/>
      <c r="FC33" s="782"/>
      <c r="FD33" s="782"/>
      <c r="FE33" s="782"/>
      <c r="FF33" s="782"/>
      <c r="FG33" s="782"/>
      <c r="FH33" s="782"/>
      <c r="FI33" s="782"/>
      <c r="FJ33" s="782"/>
      <c r="FK33" s="782"/>
      <c r="FL33" s="782"/>
      <c r="FM33" s="782"/>
      <c r="FN33" s="782"/>
      <c r="FO33" s="782"/>
      <c r="FP33" s="782"/>
      <c r="FQ33" s="782"/>
      <c r="FR33" s="782"/>
      <c r="FS33" s="782"/>
      <c r="FT33" s="782"/>
      <c r="FU33" s="782"/>
      <c r="FV33" s="782"/>
      <c r="FW33" s="782"/>
      <c r="FX33" s="782"/>
      <c r="FY33" s="782"/>
      <c r="FZ33" s="782"/>
      <c r="GA33" s="782"/>
      <c r="GB33" s="782"/>
      <c r="GC33" s="782"/>
      <c r="GD33" s="782"/>
      <c r="GE33" s="782"/>
      <c r="GF33" s="782"/>
      <c r="GG33" s="782"/>
      <c r="GH33" s="782"/>
      <c r="GI33" s="782"/>
      <c r="GJ33" s="782"/>
      <c r="GK33" s="782"/>
      <c r="GL33" s="782"/>
      <c r="GM33" s="782"/>
      <c r="GN33" s="782"/>
      <c r="GO33" s="782"/>
      <c r="GP33" s="782"/>
      <c r="GQ33" s="782"/>
      <c r="GR33" s="782"/>
      <c r="GS33" s="782"/>
      <c r="GT33" s="782"/>
      <c r="GU33" s="782"/>
      <c r="GV33" s="782"/>
      <c r="GW33" s="782"/>
      <c r="GX33" s="782"/>
      <c r="GY33" s="782"/>
      <c r="GZ33" s="782"/>
      <c r="HA33" s="782"/>
      <c r="HB33" s="782"/>
      <c r="HC33" s="782"/>
      <c r="HD33" s="782"/>
      <c r="HE33" s="782"/>
      <c r="HF33" s="782"/>
      <c r="HG33" s="782"/>
      <c r="HH33" s="782"/>
      <c r="HI33" s="782"/>
      <c r="HJ33" s="782"/>
      <c r="HK33" s="782"/>
      <c r="HL33" s="782"/>
      <c r="HM33" s="782"/>
      <c r="HN33" s="782"/>
      <c r="HO33" s="782"/>
      <c r="HP33" s="782"/>
      <c r="HQ33" s="782"/>
      <c r="HR33" s="782"/>
      <c r="HS33" s="782"/>
      <c r="HT33" s="782"/>
      <c r="HU33" s="782"/>
      <c r="HV33" s="782"/>
      <c r="HW33" s="782"/>
      <c r="HX33" s="782"/>
      <c r="HY33" s="782"/>
      <c r="HZ33" s="782"/>
      <c r="IA33" s="782"/>
      <c r="IB33" s="782"/>
      <c r="IC33" s="782"/>
      <c r="ID33" s="782"/>
      <c r="IE33" s="782"/>
      <c r="IF33" s="782"/>
      <c r="IG33" s="782"/>
      <c r="IH33" s="782"/>
      <c r="II33" s="782"/>
      <c r="IJ33" s="782"/>
      <c r="IK33" s="782"/>
      <c r="IL33" s="782"/>
      <c r="IM33" s="782"/>
      <c r="IN33" s="782"/>
      <c r="IO33" s="782"/>
      <c r="IP33" s="782"/>
      <c r="IQ33" s="782"/>
      <c r="IR33" s="782"/>
      <c r="IS33" s="782"/>
      <c r="IT33" s="782"/>
      <c r="IU33" s="782"/>
      <c r="IV33" s="782"/>
      <c r="IW33" s="782"/>
      <c r="IX33" s="782"/>
      <c r="IY33" s="782"/>
      <c r="IZ33" s="782"/>
      <c r="JA33" s="782"/>
      <c r="JB33" s="782"/>
      <c r="JC33" s="782"/>
      <c r="JD33" s="782"/>
      <c r="JE33" s="782"/>
      <c r="JF33" s="782"/>
      <c r="JG33" s="782"/>
      <c r="JH33" s="782"/>
      <c r="JI33" s="782"/>
      <c r="JJ33" s="782"/>
      <c r="JK33" s="782"/>
      <c r="JL33" s="782"/>
      <c r="JM33" s="782"/>
      <c r="JN33" s="782"/>
      <c r="JO33" s="782"/>
      <c r="JP33" s="782"/>
      <c r="JQ33" s="782"/>
      <c r="JR33" s="782"/>
      <c r="JS33" s="782"/>
      <c r="JT33" s="782"/>
      <c r="JU33" s="782"/>
      <c r="JV33" s="782"/>
      <c r="JW33" s="782"/>
      <c r="JX33" s="782"/>
      <c r="JY33" s="782"/>
      <c r="JZ33" s="782"/>
      <c r="KA33" s="782"/>
      <c r="KB33" s="782"/>
      <c r="KC33" s="782"/>
      <c r="KD33" s="782"/>
      <c r="KE33" s="782"/>
      <c r="KF33" s="782"/>
      <c r="KG33" s="782"/>
      <c r="KH33" s="782"/>
      <c r="KI33" s="782"/>
      <c r="KJ33" s="782"/>
      <c r="KK33" s="782"/>
      <c r="KL33" s="782"/>
      <c r="KM33" s="782"/>
      <c r="KN33" s="782"/>
      <c r="KO33" s="782"/>
      <c r="KP33" s="782"/>
      <c r="KQ33" s="782"/>
      <c r="KR33" s="782"/>
      <c r="KS33" s="782"/>
      <c r="KT33" s="782"/>
      <c r="KU33" s="782"/>
      <c r="KV33" s="782"/>
      <c r="KW33" s="782"/>
      <c r="KX33" s="782"/>
      <c r="KY33" s="782"/>
      <c r="KZ33" s="782"/>
      <c r="LA33" s="782"/>
      <c r="LB33" s="782"/>
      <c r="LC33" s="782"/>
      <c r="LD33" s="782"/>
      <c r="LE33" s="782"/>
      <c r="LF33" s="782"/>
      <c r="LG33" s="782"/>
      <c r="LH33" s="782"/>
      <c r="LI33" s="782"/>
      <c r="LJ33" s="782"/>
      <c r="LK33" s="782"/>
      <c r="LL33" s="782"/>
      <c r="LM33" s="782"/>
      <c r="LN33" s="782"/>
      <c r="LO33" s="782"/>
      <c r="LP33" s="782"/>
      <c r="LQ33" s="782"/>
      <c r="LR33" s="782"/>
      <c r="LS33" s="782"/>
      <c r="LT33" s="782"/>
      <c r="LU33" s="782"/>
      <c r="LV33" s="782"/>
      <c r="LW33" s="782"/>
      <c r="LX33" s="782"/>
      <c r="LY33" s="782"/>
      <c r="LZ33" s="782"/>
      <c r="MA33" s="782"/>
      <c r="MB33" s="782"/>
      <c r="MC33" s="782"/>
      <c r="MD33" s="782"/>
      <c r="ME33" s="782"/>
      <c r="MF33" s="782"/>
      <c r="MG33" s="782"/>
      <c r="MH33" s="782"/>
      <c r="MI33" s="782"/>
      <c r="MJ33" s="782"/>
      <c r="MK33" s="782"/>
      <c r="ML33" s="782"/>
      <c r="MM33" s="782"/>
      <c r="MN33" s="782"/>
      <c r="MO33" s="782"/>
      <c r="MP33" s="782"/>
      <c r="MQ33" s="782"/>
      <c r="MR33" s="782"/>
      <c r="MS33" s="782"/>
      <c r="MT33" s="782"/>
      <c r="MU33" s="782"/>
      <c r="MV33" s="782"/>
      <c r="MW33" s="782"/>
      <c r="MX33" s="782"/>
      <c r="MY33" s="782"/>
      <c r="MZ33" s="782"/>
      <c r="NA33" s="782"/>
      <c r="NB33" s="782"/>
      <c r="NC33" s="782"/>
      <c r="ND33" s="782"/>
      <c r="NE33" s="782"/>
      <c r="NF33" s="782"/>
      <c r="NG33" s="782"/>
      <c r="NH33" s="782"/>
      <c r="NI33" s="782"/>
      <c r="NJ33" s="782"/>
      <c r="NK33" s="782"/>
      <c r="NL33" s="782"/>
      <c r="NM33" s="782"/>
      <c r="NN33" s="782"/>
      <c r="NO33" s="782"/>
      <c r="NP33" s="782"/>
      <c r="NQ33" s="782"/>
      <c r="NR33" s="782"/>
      <c r="NS33" s="782"/>
      <c r="NT33" s="782"/>
      <c r="NU33" s="782"/>
      <c r="NV33" s="782"/>
      <c r="NW33" s="782"/>
      <c r="NX33" s="782"/>
      <c r="NY33" s="782"/>
      <c r="NZ33" s="782"/>
      <c r="OA33" s="782"/>
      <c r="OB33" s="782"/>
      <c r="OC33" s="782"/>
      <c r="OD33" s="782"/>
      <c r="OE33" s="782"/>
      <c r="OF33" s="782"/>
      <c r="OG33" s="782"/>
      <c r="OH33" s="782"/>
      <c r="OI33" s="782"/>
      <c r="OJ33" s="782"/>
      <c r="OK33" s="782"/>
      <c r="OL33" s="782"/>
      <c r="OM33" s="782"/>
      <c r="ON33" s="782"/>
      <c r="OO33" s="782"/>
      <c r="OP33" s="782"/>
      <c r="OQ33" s="782"/>
      <c r="OR33" s="782"/>
      <c r="OS33" s="782"/>
      <c r="OT33" s="782"/>
      <c r="OU33" s="782"/>
      <c r="OV33" s="782"/>
      <c r="OW33" s="782"/>
      <c r="OX33" s="782"/>
      <c r="OY33" s="782"/>
      <c r="OZ33" s="782"/>
      <c r="PA33" s="782"/>
      <c r="PB33" s="782"/>
      <c r="PC33" s="782"/>
      <c r="PD33" s="782"/>
      <c r="PE33" s="782"/>
      <c r="PF33" s="782"/>
      <c r="PG33" s="782"/>
      <c r="PH33" s="782"/>
      <c r="PI33" s="782"/>
      <c r="PJ33" s="782"/>
      <c r="PK33" s="782"/>
      <c r="PL33" s="782"/>
      <c r="PM33" s="782"/>
      <c r="PN33" s="782"/>
      <c r="PO33" s="782"/>
    </row>
    <row r="34" spans="1:431" s="143" customFormat="1">
      <c r="A34" s="782"/>
      <c r="B34" s="782"/>
      <c r="C34" s="785"/>
      <c r="D34" s="785"/>
      <c r="E34" s="785"/>
      <c r="F34" s="785"/>
      <c r="G34" s="785"/>
      <c r="H34" s="785"/>
      <c r="I34" s="785"/>
      <c r="J34" s="785"/>
      <c r="K34" s="785"/>
      <c r="L34" s="785"/>
      <c r="M34" s="782"/>
      <c r="N34" s="782"/>
      <c r="O34" s="782"/>
      <c r="P34" s="782"/>
      <c r="Q34" s="782"/>
      <c r="R34" s="782"/>
      <c r="S34" s="782"/>
      <c r="T34" s="782"/>
      <c r="U34" s="782"/>
      <c r="V34" s="782"/>
      <c r="W34" s="782"/>
      <c r="X34" s="782"/>
      <c r="Y34" s="782"/>
      <c r="Z34" s="782"/>
      <c r="AA34" s="782"/>
      <c r="AB34" s="782"/>
      <c r="AC34" s="782"/>
      <c r="AD34" s="782"/>
      <c r="AE34" s="782"/>
      <c r="AF34" s="782"/>
      <c r="AG34" s="782"/>
      <c r="AH34" s="782"/>
      <c r="AI34" s="782"/>
      <c r="AJ34" s="782"/>
      <c r="AK34" s="782"/>
      <c r="AL34" s="782"/>
      <c r="AM34" s="782"/>
      <c r="AN34" s="782"/>
      <c r="AO34" s="782"/>
      <c r="AP34" s="782"/>
      <c r="AQ34" s="782"/>
      <c r="AR34" s="782"/>
      <c r="AS34" s="782"/>
      <c r="AT34" s="782"/>
      <c r="AU34" s="782"/>
      <c r="AV34" s="782"/>
      <c r="AW34" s="782"/>
      <c r="AX34" s="782"/>
      <c r="AY34" s="782"/>
      <c r="AZ34" s="782"/>
      <c r="BA34" s="782"/>
      <c r="BB34" s="782"/>
      <c r="BC34" s="782"/>
      <c r="BD34" s="782"/>
      <c r="BE34" s="782"/>
      <c r="BF34" s="782"/>
      <c r="BG34" s="782"/>
      <c r="BH34" s="782"/>
      <c r="BI34" s="782"/>
      <c r="BJ34" s="782"/>
      <c r="BK34" s="782"/>
      <c r="BL34" s="782"/>
      <c r="BM34" s="782"/>
      <c r="BN34" s="782"/>
      <c r="BO34" s="782"/>
      <c r="BP34" s="782"/>
      <c r="BQ34" s="782"/>
      <c r="BR34" s="782"/>
      <c r="BS34" s="782"/>
      <c r="BT34" s="782"/>
      <c r="BU34" s="782"/>
      <c r="BV34" s="782"/>
      <c r="BW34" s="782"/>
      <c r="BX34" s="782"/>
      <c r="BY34" s="782"/>
      <c r="BZ34" s="782"/>
      <c r="CA34" s="782"/>
      <c r="CB34" s="782"/>
      <c r="CC34" s="782"/>
      <c r="CD34" s="782"/>
      <c r="CE34" s="782"/>
      <c r="CF34" s="782"/>
      <c r="CG34" s="782"/>
      <c r="CH34" s="782"/>
      <c r="CI34" s="782"/>
      <c r="CJ34" s="782"/>
      <c r="CK34" s="782"/>
      <c r="CL34" s="782"/>
      <c r="CM34" s="782"/>
      <c r="CN34" s="782"/>
      <c r="CO34" s="782"/>
      <c r="CP34" s="782"/>
      <c r="CQ34" s="782"/>
      <c r="CR34" s="782"/>
      <c r="CS34" s="782"/>
      <c r="CT34" s="782"/>
      <c r="CU34" s="782"/>
      <c r="CV34" s="782"/>
      <c r="CW34" s="782"/>
      <c r="CX34" s="782"/>
      <c r="CY34" s="782"/>
      <c r="CZ34" s="782"/>
      <c r="DA34" s="782"/>
      <c r="DB34" s="782"/>
      <c r="DC34" s="782"/>
      <c r="DD34" s="782"/>
      <c r="DE34" s="782"/>
      <c r="DF34" s="782"/>
      <c r="DG34" s="782"/>
      <c r="DH34" s="782"/>
      <c r="DI34" s="782"/>
      <c r="DJ34" s="782"/>
      <c r="DK34" s="782"/>
      <c r="DL34" s="782"/>
      <c r="DM34" s="782"/>
      <c r="DN34" s="782"/>
      <c r="DO34" s="782"/>
      <c r="DP34" s="782"/>
      <c r="DQ34" s="782"/>
      <c r="DR34" s="782"/>
      <c r="DS34" s="782"/>
      <c r="DT34" s="782"/>
      <c r="DU34" s="782"/>
      <c r="DV34" s="782"/>
      <c r="DW34" s="782"/>
      <c r="DX34" s="782"/>
      <c r="DY34" s="782"/>
      <c r="DZ34" s="782"/>
      <c r="EA34" s="782"/>
      <c r="EB34" s="782"/>
      <c r="EC34" s="782"/>
      <c r="ED34" s="782"/>
      <c r="EE34" s="782"/>
      <c r="EF34" s="782"/>
      <c r="EG34" s="782"/>
      <c r="EH34" s="782"/>
      <c r="EI34" s="782"/>
      <c r="EJ34" s="782"/>
      <c r="EK34" s="782"/>
      <c r="EL34" s="782"/>
      <c r="EM34" s="782"/>
      <c r="EN34" s="782"/>
      <c r="EO34" s="782"/>
      <c r="EP34" s="782"/>
      <c r="EQ34" s="782"/>
      <c r="ER34" s="782"/>
      <c r="ES34" s="782"/>
      <c r="ET34" s="782"/>
      <c r="EU34" s="782"/>
      <c r="EV34" s="782"/>
      <c r="EW34" s="782"/>
      <c r="EX34" s="782"/>
      <c r="EY34" s="782"/>
      <c r="EZ34" s="782"/>
      <c r="FA34" s="782"/>
      <c r="FB34" s="782"/>
      <c r="FC34" s="782"/>
      <c r="FD34" s="782"/>
      <c r="FE34" s="782"/>
      <c r="FF34" s="782"/>
      <c r="FG34" s="782"/>
      <c r="FH34" s="782"/>
      <c r="FI34" s="782"/>
      <c r="FJ34" s="782"/>
      <c r="FK34" s="782"/>
      <c r="FL34" s="782"/>
      <c r="FM34" s="782"/>
      <c r="FN34" s="782"/>
      <c r="FO34" s="782"/>
      <c r="FP34" s="782"/>
      <c r="FQ34" s="782"/>
      <c r="FR34" s="782"/>
      <c r="FS34" s="782"/>
      <c r="FT34" s="782"/>
      <c r="FU34" s="782"/>
      <c r="FV34" s="782"/>
      <c r="FW34" s="782"/>
      <c r="FX34" s="782"/>
      <c r="FY34" s="782"/>
      <c r="FZ34" s="782"/>
      <c r="GA34" s="782"/>
      <c r="GB34" s="782"/>
      <c r="GC34" s="782"/>
      <c r="GD34" s="782"/>
      <c r="GE34" s="782"/>
      <c r="GF34" s="782"/>
      <c r="GG34" s="782"/>
      <c r="GH34" s="782"/>
      <c r="GI34" s="782"/>
      <c r="GJ34" s="782"/>
      <c r="GK34" s="782"/>
      <c r="GL34" s="782"/>
      <c r="GM34" s="782"/>
      <c r="GN34" s="782"/>
      <c r="GO34" s="782"/>
      <c r="GP34" s="782"/>
      <c r="GQ34" s="782"/>
      <c r="GR34" s="782"/>
      <c r="GS34" s="782"/>
      <c r="GT34" s="782"/>
      <c r="GU34" s="782"/>
      <c r="GV34" s="782"/>
      <c r="GW34" s="782"/>
      <c r="GX34" s="782"/>
      <c r="GY34" s="782"/>
      <c r="GZ34" s="782"/>
      <c r="HA34" s="782"/>
      <c r="HB34" s="782"/>
      <c r="HC34" s="782"/>
      <c r="HD34" s="782"/>
      <c r="HE34" s="782"/>
      <c r="HF34" s="782"/>
      <c r="HG34" s="782"/>
      <c r="HH34" s="782"/>
      <c r="HI34" s="782"/>
      <c r="HJ34" s="782"/>
      <c r="HK34" s="782"/>
      <c r="HL34" s="782"/>
      <c r="HM34" s="782"/>
      <c r="HN34" s="782"/>
      <c r="HO34" s="782"/>
      <c r="HP34" s="782"/>
      <c r="HQ34" s="782"/>
      <c r="HR34" s="782"/>
      <c r="HS34" s="782"/>
      <c r="HT34" s="782"/>
      <c r="HU34" s="782"/>
      <c r="HV34" s="782"/>
      <c r="HW34" s="782"/>
      <c r="HX34" s="782"/>
      <c r="HY34" s="782"/>
      <c r="HZ34" s="782"/>
      <c r="IA34" s="782"/>
      <c r="IB34" s="782"/>
      <c r="IC34" s="782"/>
      <c r="ID34" s="782"/>
      <c r="IE34" s="782"/>
      <c r="IF34" s="782"/>
      <c r="IG34" s="782"/>
      <c r="IH34" s="782"/>
      <c r="II34" s="782"/>
      <c r="IJ34" s="782"/>
      <c r="IK34" s="782"/>
      <c r="IL34" s="782"/>
      <c r="IM34" s="782"/>
      <c r="IN34" s="782"/>
      <c r="IO34" s="782"/>
      <c r="IP34" s="782"/>
      <c r="IQ34" s="782"/>
      <c r="IR34" s="782"/>
      <c r="IS34" s="782"/>
      <c r="IT34" s="782"/>
      <c r="IU34" s="782"/>
      <c r="IV34" s="782"/>
      <c r="IW34" s="782"/>
      <c r="IX34" s="782"/>
      <c r="IY34" s="782"/>
      <c r="IZ34" s="782"/>
      <c r="JA34" s="782"/>
      <c r="JB34" s="782"/>
      <c r="JC34" s="782"/>
      <c r="JD34" s="782"/>
      <c r="JE34" s="782"/>
      <c r="JF34" s="782"/>
      <c r="JG34" s="782"/>
      <c r="JH34" s="782"/>
      <c r="JI34" s="782"/>
      <c r="JJ34" s="782"/>
      <c r="JK34" s="782"/>
      <c r="JL34" s="782"/>
      <c r="JM34" s="782"/>
      <c r="JN34" s="782"/>
      <c r="JO34" s="782"/>
      <c r="JP34" s="782"/>
      <c r="JQ34" s="782"/>
      <c r="JR34" s="782"/>
      <c r="JS34" s="782"/>
      <c r="JT34" s="782"/>
      <c r="JU34" s="782"/>
      <c r="JV34" s="782"/>
      <c r="JW34" s="782"/>
      <c r="JX34" s="782"/>
      <c r="JY34" s="782"/>
      <c r="JZ34" s="782"/>
      <c r="KA34" s="782"/>
      <c r="KB34" s="782"/>
      <c r="KC34" s="782"/>
      <c r="KD34" s="782"/>
      <c r="KE34" s="782"/>
      <c r="KF34" s="782"/>
      <c r="KG34" s="782"/>
      <c r="KH34" s="782"/>
      <c r="KI34" s="782"/>
      <c r="KJ34" s="782"/>
      <c r="KK34" s="782"/>
      <c r="KL34" s="782"/>
      <c r="KM34" s="782"/>
      <c r="KN34" s="782"/>
      <c r="KO34" s="782"/>
      <c r="KP34" s="782"/>
      <c r="KQ34" s="782"/>
      <c r="KR34" s="782"/>
      <c r="KS34" s="782"/>
      <c r="KT34" s="782"/>
      <c r="KU34" s="782"/>
      <c r="KV34" s="782"/>
      <c r="KW34" s="782"/>
      <c r="KX34" s="782"/>
      <c r="KY34" s="782"/>
      <c r="KZ34" s="782"/>
      <c r="LA34" s="782"/>
      <c r="LB34" s="782"/>
      <c r="LC34" s="782"/>
      <c r="LD34" s="782"/>
      <c r="LE34" s="782"/>
      <c r="LF34" s="782"/>
      <c r="LG34" s="782"/>
      <c r="LH34" s="782"/>
      <c r="LI34" s="782"/>
      <c r="LJ34" s="782"/>
      <c r="LK34" s="782"/>
      <c r="LL34" s="782"/>
      <c r="LM34" s="782"/>
      <c r="LN34" s="782"/>
      <c r="LO34" s="782"/>
      <c r="LP34" s="782"/>
      <c r="LQ34" s="782"/>
      <c r="LR34" s="782"/>
      <c r="LS34" s="782"/>
      <c r="LT34" s="782"/>
      <c r="LU34" s="782"/>
      <c r="LV34" s="782"/>
      <c r="LW34" s="782"/>
      <c r="LX34" s="782"/>
      <c r="LY34" s="782"/>
      <c r="LZ34" s="782"/>
      <c r="MA34" s="782"/>
      <c r="MB34" s="782"/>
      <c r="MC34" s="782"/>
      <c r="MD34" s="782"/>
      <c r="ME34" s="782"/>
      <c r="MF34" s="782"/>
      <c r="MG34" s="782"/>
      <c r="MH34" s="782"/>
      <c r="MI34" s="782"/>
      <c r="MJ34" s="782"/>
      <c r="MK34" s="782"/>
      <c r="ML34" s="782"/>
      <c r="MM34" s="782"/>
      <c r="MN34" s="782"/>
      <c r="MO34" s="782"/>
      <c r="MP34" s="782"/>
      <c r="MQ34" s="782"/>
      <c r="MR34" s="782"/>
      <c r="MS34" s="782"/>
      <c r="MT34" s="782"/>
      <c r="MU34" s="782"/>
      <c r="MV34" s="782"/>
      <c r="MW34" s="782"/>
      <c r="MX34" s="782"/>
      <c r="MY34" s="782"/>
      <c r="MZ34" s="782"/>
      <c r="NA34" s="782"/>
      <c r="NB34" s="782"/>
      <c r="NC34" s="782"/>
      <c r="ND34" s="782"/>
      <c r="NE34" s="782"/>
      <c r="NF34" s="782"/>
      <c r="NG34" s="782"/>
      <c r="NH34" s="782"/>
      <c r="NI34" s="782"/>
      <c r="NJ34" s="782"/>
      <c r="NK34" s="782"/>
      <c r="NL34" s="782"/>
      <c r="NM34" s="782"/>
      <c r="NN34" s="782"/>
      <c r="NO34" s="782"/>
      <c r="NP34" s="782"/>
      <c r="NQ34" s="782"/>
      <c r="NR34" s="782"/>
      <c r="NS34" s="782"/>
      <c r="NT34" s="782"/>
      <c r="NU34" s="782"/>
      <c r="NV34" s="782"/>
      <c r="NW34" s="782"/>
      <c r="NX34" s="782"/>
      <c r="NY34" s="782"/>
      <c r="NZ34" s="782"/>
      <c r="OA34" s="782"/>
      <c r="OB34" s="782"/>
      <c r="OC34" s="782"/>
      <c r="OD34" s="782"/>
      <c r="OE34" s="782"/>
      <c r="OF34" s="782"/>
      <c r="OG34" s="782"/>
      <c r="OH34" s="782"/>
      <c r="OI34" s="782"/>
      <c r="OJ34" s="782"/>
      <c r="OK34" s="782"/>
      <c r="OL34" s="782"/>
      <c r="OM34" s="782"/>
      <c r="ON34" s="782"/>
      <c r="OO34" s="782"/>
      <c r="OP34" s="782"/>
      <c r="OQ34" s="782"/>
      <c r="OR34" s="782"/>
      <c r="OS34" s="782"/>
      <c r="OT34" s="782"/>
      <c r="OU34" s="782"/>
      <c r="OV34" s="782"/>
      <c r="OW34" s="782"/>
      <c r="OX34" s="782"/>
      <c r="OY34" s="782"/>
      <c r="OZ34" s="782"/>
      <c r="PA34" s="782"/>
      <c r="PB34" s="782"/>
      <c r="PC34" s="782"/>
      <c r="PD34" s="782"/>
      <c r="PE34" s="782"/>
      <c r="PF34" s="782"/>
      <c r="PG34" s="782"/>
      <c r="PH34" s="782"/>
      <c r="PI34" s="782"/>
      <c r="PJ34" s="782"/>
      <c r="PK34" s="782"/>
      <c r="PL34" s="782"/>
      <c r="PM34" s="782"/>
      <c r="PN34" s="782"/>
      <c r="PO34" s="782"/>
    </row>
    <row r="35" spans="1:431" s="143" customFormat="1">
      <c r="A35" s="782"/>
      <c r="B35" s="782"/>
      <c r="C35" s="785"/>
      <c r="D35" s="785"/>
      <c r="E35" s="785"/>
      <c r="F35" s="785"/>
      <c r="G35" s="785"/>
      <c r="H35" s="785"/>
      <c r="I35" s="785"/>
      <c r="J35" s="785"/>
      <c r="K35" s="785"/>
      <c r="L35" s="785"/>
      <c r="M35" s="782"/>
      <c r="N35" s="782"/>
      <c r="O35" s="782"/>
      <c r="P35" s="782"/>
      <c r="Q35" s="782"/>
      <c r="R35" s="782"/>
      <c r="S35" s="782"/>
      <c r="T35" s="782"/>
      <c r="U35" s="782"/>
      <c r="V35" s="782"/>
      <c r="W35" s="782"/>
      <c r="X35" s="782"/>
      <c r="Y35" s="782"/>
      <c r="Z35" s="782"/>
      <c r="AA35" s="782"/>
      <c r="AB35" s="782"/>
      <c r="AC35" s="782"/>
      <c r="AD35" s="782"/>
      <c r="AE35" s="782"/>
      <c r="AF35" s="782"/>
      <c r="AG35" s="782"/>
      <c r="AH35" s="782"/>
      <c r="AI35" s="782"/>
      <c r="AJ35" s="782"/>
      <c r="AK35" s="782"/>
      <c r="AL35" s="782"/>
      <c r="AM35" s="782"/>
      <c r="AN35" s="782"/>
      <c r="AO35" s="782"/>
      <c r="AP35" s="782"/>
      <c r="AQ35" s="782"/>
      <c r="AR35" s="782"/>
      <c r="AS35" s="782"/>
      <c r="AT35" s="782"/>
      <c r="AU35" s="782"/>
      <c r="AV35" s="782"/>
      <c r="AW35" s="782"/>
      <c r="AX35" s="782"/>
      <c r="AY35" s="782"/>
      <c r="AZ35" s="782"/>
      <c r="BA35" s="782"/>
      <c r="BB35" s="782"/>
      <c r="BC35" s="782"/>
      <c r="BD35" s="782"/>
      <c r="BE35" s="782"/>
      <c r="BF35" s="782"/>
      <c r="BG35" s="782"/>
      <c r="BH35" s="782"/>
      <c r="BI35" s="782"/>
      <c r="BJ35" s="782"/>
      <c r="BK35" s="782"/>
      <c r="BL35" s="782"/>
      <c r="BM35" s="782"/>
      <c r="BN35" s="782"/>
      <c r="BO35" s="782"/>
      <c r="BP35" s="782"/>
      <c r="BQ35" s="782"/>
      <c r="BR35" s="782"/>
      <c r="BS35" s="782"/>
      <c r="BT35" s="782"/>
      <c r="BU35" s="782"/>
      <c r="BV35" s="782"/>
      <c r="BW35" s="782"/>
      <c r="BX35" s="782"/>
      <c r="BY35" s="782"/>
      <c r="BZ35" s="782"/>
      <c r="CA35" s="782"/>
      <c r="CB35" s="782"/>
      <c r="CC35" s="782"/>
      <c r="CD35" s="782"/>
      <c r="CE35" s="782"/>
      <c r="CF35" s="782"/>
      <c r="CG35" s="782"/>
      <c r="CH35" s="782"/>
      <c r="CI35" s="782"/>
      <c r="CJ35" s="782"/>
      <c r="CK35" s="782"/>
      <c r="CL35" s="782"/>
      <c r="CM35" s="782"/>
      <c r="CN35" s="782"/>
      <c r="CO35" s="782"/>
      <c r="CP35" s="782"/>
      <c r="CQ35" s="782"/>
      <c r="CR35" s="782"/>
      <c r="CS35" s="782"/>
      <c r="CT35" s="782"/>
      <c r="CU35" s="782"/>
      <c r="CV35" s="782"/>
      <c r="CW35" s="782"/>
      <c r="CX35" s="782"/>
      <c r="CY35" s="782"/>
      <c r="CZ35" s="782"/>
      <c r="DA35" s="782"/>
      <c r="DB35" s="782"/>
      <c r="DC35" s="782"/>
      <c r="DD35" s="782"/>
      <c r="DE35" s="782"/>
      <c r="DF35" s="782"/>
      <c r="DG35" s="782"/>
      <c r="DH35" s="782"/>
      <c r="DI35" s="782"/>
      <c r="DJ35" s="782"/>
      <c r="DK35" s="782"/>
      <c r="DL35" s="782"/>
      <c r="DM35" s="782"/>
      <c r="DN35" s="782"/>
      <c r="DO35" s="782"/>
      <c r="DP35" s="782"/>
      <c r="DQ35" s="782"/>
      <c r="DR35" s="782"/>
      <c r="DS35" s="782"/>
      <c r="DT35" s="782"/>
      <c r="DU35" s="782"/>
      <c r="DV35" s="782"/>
      <c r="DW35" s="782"/>
      <c r="DX35" s="782"/>
      <c r="DY35" s="782"/>
      <c r="DZ35" s="782"/>
      <c r="EA35" s="782"/>
      <c r="EB35" s="782"/>
      <c r="EC35" s="782"/>
      <c r="ED35" s="782"/>
      <c r="EE35" s="782"/>
      <c r="EF35" s="782"/>
      <c r="EG35" s="782"/>
      <c r="EH35" s="782"/>
      <c r="EI35" s="782"/>
      <c r="EJ35" s="782"/>
      <c r="EK35" s="782"/>
      <c r="EL35" s="782"/>
      <c r="EM35" s="782"/>
      <c r="EN35" s="782"/>
      <c r="EO35" s="782"/>
      <c r="EP35" s="782"/>
      <c r="EQ35" s="782"/>
      <c r="ER35" s="782"/>
      <c r="ES35" s="782"/>
      <c r="ET35" s="782"/>
      <c r="EU35" s="782"/>
      <c r="EV35" s="782"/>
      <c r="EW35" s="782"/>
      <c r="EX35" s="782"/>
      <c r="EY35" s="782"/>
      <c r="EZ35" s="782"/>
      <c r="FA35" s="782"/>
      <c r="FB35" s="782"/>
      <c r="FC35" s="782"/>
      <c r="FD35" s="782"/>
      <c r="FE35" s="782"/>
      <c r="FF35" s="782"/>
      <c r="FG35" s="782"/>
      <c r="FH35" s="782"/>
      <c r="FI35" s="782"/>
      <c r="FJ35" s="782"/>
      <c r="FK35" s="782"/>
      <c r="FL35" s="782"/>
      <c r="FM35" s="782"/>
      <c r="FN35" s="782"/>
      <c r="FO35" s="782"/>
      <c r="FP35" s="782"/>
      <c r="FQ35" s="782"/>
      <c r="FR35" s="782"/>
      <c r="FS35" s="782"/>
      <c r="FT35" s="782"/>
      <c r="FU35" s="782"/>
      <c r="FV35" s="782"/>
      <c r="FW35" s="782"/>
      <c r="FX35" s="782"/>
      <c r="FY35" s="782"/>
      <c r="FZ35" s="782"/>
      <c r="GA35" s="782"/>
      <c r="GB35" s="782"/>
      <c r="GC35" s="782"/>
      <c r="GD35" s="782"/>
      <c r="GE35" s="782"/>
      <c r="GF35" s="782"/>
      <c r="GG35" s="782"/>
      <c r="GH35" s="782"/>
      <c r="GI35" s="782"/>
      <c r="GJ35" s="782"/>
      <c r="GK35" s="782"/>
      <c r="GL35" s="782"/>
      <c r="GM35" s="782"/>
      <c r="GN35" s="782"/>
      <c r="GO35" s="782"/>
      <c r="GP35" s="782"/>
      <c r="GQ35" s="782"/>
      <c r="GR35" s="782"/>
      <c r="GS35" s="782"/>
      <c r="GT35" s="782"/>
      <c r="GU35" s="782"/>
      <c r="GV35" s="782"/>
      <c r="GW35" s="782"/>
      <c r="GX35" s="782"/>
      <c r="GY35" s="782"/>
      <c r="GZ35" s="782"/>
      <c r="HA35" s="782"/>
      <c r="HB35" s="782"/>
      <c r="HC35" s="782"/>
      <c r="HD35" s="782"/>
      <c r="HE35" s="782"/>
      <c r="HF35" s="782"/>
      <c r="HG35" s="782"/>
      <c r="HH35" s="782"/>
      <c r="HI35" s="782"/>
      <c r="HJ35" s="782"/>
      <c r="HK35" s="782"/>
      <c r="HL35" s="782"/>
      <c r="HM35" s="782"/>
      <c r="HN35" s="782"/>
      <c r="HO35" s="782"/>
      <c r="HP35" s="782"/>
      <c r="HQ35" s="782"/>
      <c r="HR35" s="782"/>
      <c r="HS35" s="782"/>
      <c r="HT35" s="782"/>
      <c r="HU35" s="782"/>
      <c r="HV35" s="782"/>
      <c r="HW35" s="782"/>
      <c r="HX35" s="782"/>
      <c r="HY35" s="782"/>
      <c r="HZ35" s="782"/>
      <c r="IA35" s="782"/>
      <c r="IB35" s="782"/>
      <c r="IC35" s="782"/>
      <c r="ID35" s="782"/>
      <c r="IE35" s="782"/>
      <c r="IF35" s="782"/>
      <c r="IG35" s="782"/>
      <c r="IH35" s="782"/>
      <c r="II35" s="782"/>
      <c r="IJ35" s="782"/>
      <c r="IK35" s="782"/>
      <c r="IL35" s="782"/>
      <c r="IM35" s="782"/>
      <c r="IN35" s="782"/>
      <c r="IO35" s="782"/>
      <c r="IP35" s="782"/>
      <c r="IQ35" s="782"/>
      <c r="IR35" s="782"/>
      <c r="IS35" s="782"/>
      <c r="IT35" s="782"/>
      <c r="IU35" s="782"/>
      <c r="IV35" s="782"/>
      <c r="IW35" s="782"/>
      <c r="IX35" s="782"/>
      <c r="IY35" s="782"/>
      <c r="IZ35" s="782"/>
      <c r="JA35" s="782"/>
      <c r="JB35" s="782"/>
      <c r="JC35" s="782"/>
      <c r="JD35" s="782"/>
      <c r="JE35" s="782"/>
      <c r="JF35" s="782"/>
      <c r="JG35" s="782"/>
      <c r="JH35" s="782"/>
      <c r="JI35" s="782"/>
      <c r="JJ35" s="782"/>
      <c r="JK35" s="782"/>
      <c r="JL35" s="782"/>
      <c r="JM35" s="782"/>
      <c r="JN35" s="782"/>
      <c r="JO35" s="782"/>
      <c r="JP35" s="782"/>
      <c r="JQ35" s="782"/>
      <c r="JR35" s="782"/>
      <c r="JS35" s="782"/>
      <c r="JT35" s="782"/>
      <c r="JU35" s="782"/>
      <c r="JV35" s="782"/>
      <c r="JW35" s="782"/>
      <c r="JX35" s="782"/>
      <c r="JY35" s="782"/>
      <c r="JZ35" s="782"/>
      <c r="KA35" s="782"/>
      <c r="KB35" s="782"/>
      <c r="KC35" s="782"/>
      <c r="KD35" s="782"/>
      <c r="KE35" s="782"/>
      <c r="KF35" s="782"/>
      <c r="KG35" s="782"/>
      <c r="KH35" s="782"/>
      <c r="KI35" s="782"/>
      <c r="KJ35" s="782"/>
      <c r="KK35" s="782"/>
      <c r="KL35" s="782"/>
      <c r="KM35" s="782"/>
      <c r="KN35" s="782"/>
      <c r="KO35" s="782"/>
      <c r="KP35" s="782"/>
      <c r="KQ35" s="782"/>
      <c r="KR35" s="782"/>
      <c r="KS35" s="782"/>
      <c r="KT35" s="782"/>
      <c r="KU35" s="782"/>
      <c r="KV35" s="782"/>
      <c r="KW35" s="782"/>
      <c r="KX35" s="782"/>
      <c r="KY35" s="782"/>
      <c r="KZ35" s="782"/>
      <c r="LA35" s="782"/>
      <c r="LB35" s="782"/>
      <c r="LC35" s="782"/>
      <c r="LD35" s="782"/>
      <c r="LE35" s="782"/>
      <c r="LF35" s="782"/>
      <c r="LG35" s="782"/>
      <c r="LH35" s="782"/>
      <c r="LI35" s="782"/>
      <c r="LJ35" s="782"/>
      <c r="LK35" s="782"/>
      <c r="LL35" s="782"/>
      <c r="LM35" s="782"/>
      <c r="LN35" s="782"/>
      <c r="LO35" s="782"/>
      <c r="LP35" s="782"/>
      <c r="LQ35" s="782"/>
      <c r="LR35" s="782"/>
      <c r="LS35" s="782"/>
      <c r="LT35" s="782"/>
      <c r="LU35" s="782"/>
      <c r="LV35" s="782"/>
      <c r="LW35" s="782"/>
      <c r="LX35" s="782"/>
      <c r="LY35" s="782"/>
      <c r="LZ35" s="782"/>
      <c r="MA35" s="782"/>
      <c r="MB35" s="782"/>
      <c r="MC35" s="782"/>
      <c r="MD35" s="782"/>
      <c r="ME35" s="782"/>
      <c r="MF35" s="782"/>
      <c r="MG35" s="782"/>
      <c r="MH35" s="782"/>
      <c r="MI35" s="782"/>
      <c r="MJ35" s="782"/>
      <c r="MK35" s="782"/>
      <c r="ML35" s="782"/>
      <c r="MM35" s="782"/>
      <c r="MN35" s="782"/>
      <c r="MO35" s="782"/>
      <c r="MP35" s="782"/>
      <c r="MQ35" s="782"/>
      <c r="MR35" s="782"/>
      <c r="MS35" s="782"/>
      <c r="MT35" s="782"/>
      <c r="MU35" s="782"/>
      <c r="MV35" s="782"/>
      <c r="MW35" s="782"/>
      <c r="MX35" s="782"/>
      <c r="MY35" s="782"/>
      <c r="MZ35" s="782"/>
      <c r="NA35" s="782"/>
      <c r="NB35" s="782"/>
      <c r="NC35" s="782"/>
      <c r="ND35" s="782"/>
      <c r="NE35" s="782"/>
      <c r="NF35" s="782"/>
      <c r="NG35" s="782"/>
      <c r="NH35" s="782"/>
      <c r="NI35" s="782"/>
      <c r="NJ35" s="782"/>
      <c r="NK35" s="782"/>
      <c r="NL35" s="782"/>
      <c r="NM35" s="782"/>
      <c r="NN35" s="782"/>
      <c r="NO35" s="782"/>
      <c r="NP35" s="782"/>
      <c r="NQ35" s="782"/>
      <c r="NR35" s="782"/>
      <c r="NS35" s="782"/>
      <c r="NT35" s="782"/>
      <c r="NU35" s="782"/>
      <c r="NV35" s="782"/>
      <c r="NW35" s="782"/>
      <c r="NX35" s="782"/>
      <c r="NY35" s="782"/>
      <c r="NZ35" s="782"/>
      <c r="OA35" s="782"/>
      <c r="OB35" s="782"/>
      <c r="OC35" s="782"/>
      <c r="OD35" s="782"/>
      <c r="OE35" s="782"/>
      <c r="OF35" s="782"/>
      <c r="OG35" s="782"/>
      <c r="OH35" s="782"/>
      <c r="OI35" s="782"/>
      <c r="OJ35" s="782"/>
      <c r="OK35" s="782"/>
      <c r="OL35" s="782"/>
      <c r="OM35" s="782"/>
      <c r="ON35" s="782"/>
      <c r="OO35" s="782"/>
      <c r="OP35" s="782"/>
      <c r="OQ35" s="782"/>
      <c r="OR35" s="782"/>
      <c r="OS35" s="782"/>
      <c r="OT35" s="782"/>
      <c r="OU35" s="782"/>
      <c r="OV35" s="782"/>
      <c r="OW35" s="782"/>
      <c r="OX35" s="782"/>
      <c r="OY35" s="782"/>
      <c r="OZ35" s="782"/>
      <c r="PA35" s="782"/>
      <c r="PB35" s="782"/>
      <c r="PC35" s="782"/>
      <c r="PD35" s="782"/>
      <c r="PE35" s="782"/>
      <c r="PF35" s="782"/>
      <c r="PG35" s="782"/>
      <c r="PH35" s="782"/>
      <c r="PI35" s="782"/>
      <c r="PJ35" s="782"/>
      <c r="PK35" s="782"/>
      <c r="PL35" s="782"/>
      <c r="PM35" s="782"/>
      <c r="PN35" s="782"/>
      <c r="PO35" s="782"/>
    </row>
    <row r="36" spans="1:431" s="143" customFormat="1">
      <c r="A36" s="782"/>
      <c r="B36" s="782"/>
      <c r="C36" s="785"/>
      <c r="D36" s="785"/>
      <c r="E36" s="785"/>
      <c r="F36" s="785"/>
      <c r="G36" s="785"/>
      <c r="H36" s="785"/>
      <c r="I36" s="785"/>
      <c r="J36" s="785"/>
      <c r="K36" s="785"/>
      <c r="L36" s="785"/>
      <c r="M36" s="782"/>
      <c r="N36" s="782"/>
      <c r="O36" s="782"/>
      <c r="P36" s="782"/>
      <c r="Q36" s="782"/>
      <c r="R36" s="782"/>
      <c r="S36" s="782"/>
      <c r="T36" s="782"/>
      <c r="U36" s="782"/>
      <c r="V36" s="782"/>
      <c r="W36" s="782"/>
      <c r="X36" s="782"/>
      <c r="Y36" s="782"/>
      <c r="Z36" s="782"/>
      <c r="AA36" s="782"/>
      <c r="AB36" s="782"/>
      <c r="AC36" s="782"/>
      <c r="AD36" s="782"/>
      <c r="AE36" s="782"/>
      <c r="AF36" s="782"/>
      <c r="AG36" s="782"/>
      <c r="AH36" s="782"/>
      <c r="AI36" s="782"/>
      <c r="AJ36" s="782"/>
      <c r="AK36" s="782"/>
      <c r="AL36" s="782"/>
      <c r="AM36" s="782"/>
      <c r="AN36" s="782"/>
      <c r="AO36" s="782"/>
      <c r="AP36" s="782"/>
      <c r="AQ36" s="782"/>
      <c r="AR36" s="782"/>
      <c r="AS36" s="782"/>
      <c r="AT36" s="782"/>
      <c r="AU36" s="782"/>
      <c r="AV36" s="782"/>
      <c r="AW36" s="782"/>
      <c r="AX36" s="782"/>
      <c r="AY36" s="782"/>
      <c r="AZ36" s="782"/>
      <c r="BA36" s="782"/>
      <c r="BB36" s="782"/>
      <c r="BC36" s="782"/>
      <c r="BD36" s="782"/>
      <c r="BE36" s="782"/>
      <c r="BF36" s="782"/>
      <c r="BG36" s="782"/>
      <c r="BH36" s="782"/>
      <c r="BI36" s="782"/>
      <c r="BJ36" s="782"/>
      <c r="BK36" s="782"/>
      <c r="BL36" s="782"/>
      <c r="BM36" s="782"/>
      <c r="BN36" s="782"/>
      <c r="BO36" s="782"/>
      <c r="BP36" s="782"/>
      <c r="BQ36" s="782"/>
      <c r="BR36" s="782"/>
      <c r="BS36" s="782"/>
      <c r="BT36" s="782"/>
      <c r="BU36" s="782"/>
      <c r="BV36" s="782"/>
      <c r="BW36" s="782"/>
      <c r="BX36" s="782"/>
      <c r="BY36" s="782"/>
      <c r="BZ36" s="782"/>
      <c r="CA36" s="782"/>
      <c r="CB36" s="782"/>
      <c r="CC36" s="782"/>
      <c r="CD36" s="782"/>
      <c r="CE36" s="782"/>
      <c r="CF36" s="782"/>
      <c r="CG36" s="782"/>
      <c r="CH36" s="782"/>
      <c r="CI36" s="782"/>
      <c r="CJ36" s="782"/>
      <c r="CK36" s="782"/>
      <c r="CL36" s="782"/>
      <c r="CM36" s="782"/>
      <c r="CN36" s="782"/>
      <c r="CO36" s="782"/>
      <c r="CP36" s="782"/>
      <c r="CQ36" s="782"/>
      <c r="CR36" s="782"/>
      <c r="CS36" s="782"/>
      <c r="CT36" s="782"/>
      <c r="CU36" s="782"/>
      <c r="CV36" s="782"/>
      <c r="CW36" s="782"/>
      <c r="CX36" s="782"/>
      <c r="CY36" s="782"/>
      <c r="CZ36" s="782"/>
      <c r="DA36" s="782"/>
      <c r="DB36" s="782"/>
      <c r="DC36" s="782"/>
      <c r="DD36" s="782"/>
      <c r="DE36" s="782"/>
      <c r="DF36" s="782"/>
      <c r="DG36" s="782"/>
      <c r="DH36" s="782"/>
      <c r="DI36" s="782"/>
      <c r="DJ36" s="782"/>
      <c r="DK36" s="782"/>
      <c r="DL36" s="782"/>
      <c r="DM36" s="782"/>
      <c r="DN36" s="782"/>
      <c r="DO36" s="782"/>
      <c r="DP36" s="782"/>
      <c r="DQ36" s="782"/>
      <c r="DR36" s="782"/>
      <c r="DS36" s="782"/>
      <c r="DT36" s="782"/>
      <c r="DU36" s="782"/>
      <c r="DV36" s="782"/>
      <c r="DW36" s="782"/>
      <c r="DX36" s="782"/>
      <c r="DY36" s="782"/>
      <c r="DZ36" s="782"/>
      <c r="EA36" s="782"/>
      <c r="EB36" s="782"/>
      <c r="EC36" s="782"/>
      <c r="ED36" s="782"/>
      <c r="EE36" s="782"/>
      <c r="EF36" s="782"/>
      <c r="EG36" s="782"/>
      <c r="EH36" s="782"/>
      <c r="EI36" s="782"/>
      <c r="EJ36" s="782"/>
      <c r="EK36" s="782"/>
      <c r="EL36" s="782"/>
      <c r="EM36" s="782"/>
      <c r="EN36" s="782"/>
      <c r="EO36" s="782"/>
      <c r="EP36" s="782"/>
      <c r="EQ36" s="782"/>
      <c r="ER36" s="782"/>
      <c r="ES36" s="782"/>
      <c r="ET36" s="782"/>
      <c r="EU36" s="782"/>
      <c r="EV36" s="782"/>
      <c r="EW36" s="782"/>
      <c r="EX36" s="782"/>
      <c r="EY36" s="782"/>
      <c r="EZ36" s="782"/>
      <c r="FA36" s="782"/>
      <c r="FB36" s="782"/>
      <c r="FC36" s="782"/>
      <c r="FD36" s="782"/>
      <c r="FE36" s="782"/>
      <c r="FF36" s="782"/>
      <c r="FG36" s="782"/>
      <c r="FH36" s="782"/>
      <c r="FI36" s="782"/>
      <c r="FJ36" s="782"/>
      <c r="FK36" s="782"/>
      <c r="FL36" s="782"/>
      <c r="FM36" s="782"/>
      <c r="FN36" s="782"/>
      <c r="FO36" s="782"/>
      <c r="FP36" s="782"/>
      <c r="FQ36" s="782"/>
      <c r="FR36" s="782"/>
      <c r="FS36" s="782"/>
      <c r="FT36" s="782"/>
      <c r="FU36" s="782"/>
      <c r="FV36" s="782"/>
      <c r="FW36" s="782"/>
      <c r="FX36" s="782"/>
      <c r="FY36" s="782"/>
      <c r="FZ36" s="782"/>
      <c r="GA36" s="782"/>
      <c r="GB36" s="782"/>
      <c r="GC36" s="782"/>
      <c r="GD36" s="782"/>
      <c r="GE36" s="782"/>
      <c r="GF36" s="782"/>
      <c r="GG36" s="782"/>
      <c r="GH36" s="782"/>
      <c r="GI36" s="782"/>
      <c r="GJ36" s="782"/>
      <c r="GK36" s="782"/>
      <c r="GL36" s="782"/>
      <c r="GM36" s="782"/>
      <c r="GN36" s="782"/>
      <c r="GO36" s="782"/>
      <c r="GP36" s="782"/>
      <c r="GQ36" s="782"/>
      <c r="GR36" s="782"/>
      <c r="GS36" s="782"/>
      <c r="GT36" s="782"/>
      <c r="GU36" s="782"/>
      <c r="GV36" s="782"/>
      <c r="GW36" s="782"/>
      <c r="GX36" s="782"/>
      <c r="GY36" s="782"/>
      <c r="GZ36" s="782"/>
      <c r="HA36" s="782"/>
      <c r="HB36" s="782"/>
      <c r="HC36" s="782"/>
      <c r="HD36" s="782"/>
      <c r="HE36" s="782"/>
      <c r="HF36" s="782"/>
      <c r="HG36" s="782"/>
      <c r="HH36" s="782"/>
      <c r="HI36" s="782"/>
      <c r="HJ36" s="782"/>
      <c r="HK36" s="782"/>
      <c r="HL36" s="782"/>
      <c r="HM36" s="782"/>
      <c r="HN36" s="782"/>
      <c r="HO36" s="782"/>
      <c r="HP36" s="782"/>
      <c r="HQ36" s="782"/>
      <c r="HR36" s="782"/>
      <c r="HS36" s="782"/>
      <c r="HT36" s="782"/>
      <c r="HU36" s="782"/>
      <c r="HV36" s="782"/>
      <c r="HW36" s="782"/>
      <c r="HX36" s="782"/>
      <c r="HY36" s="782"/>
      <c r="HZ36" s="782"/>
      <c r="IA36" s="782"/>
      <c r="IB36" s="782"/>
      <c r="IC36" s="782"/>
      <c r="ID36" s="782"/>
      <c r="IE36" s="782"/>
      <c r="IF36" s="782"/>
      <c r="IG36" s="782"/>
      <c r="IH36" s="782"/>
      <c r="II36" s="782"/>
      <c r="IJ36" s="782"/>
      <c r="IK36" s="782"/>
      <c r="IL36" s="782"/>
      <c r="IM36" s="782"/>
      <c r="IN36" s="782"/>
      <c r="IO36" s="782"/>
      <c r="IP36" s="782"/>
      <c r="IQ36" s="782"/>
      <c r="IR36" s="782"/>
      <c r="IS36" s="782"/>
      <c r="IT36" s="782"/>
      <c r="IU36" s="782"/>
      <c r="IV36" s="782"/>
      <c r="IW36" s="782"/>
      <c r="IX36" s="782"/>
      <c r="IY36" s="782"/>
      <c r="IZ36" s="782"/>
      <c r="JA36" s="782"/>
      <c r="JB36" s="782"/>
      <c r="JC36" s="782"/>
      <c r="JD36" s="782"/>
      <c r="JE36" s="782"/>
      <c r="JF36" s="782"/>
      <c r="JG36" s="782"/>
      <c r="JH36" s="782"/>
      <c r="JI36" s="782"/>
      <c r="JJ36" s="782"/>
      <c r="JK36" s="782"/>
      <c r="JL36" s="782"/>
      <c r="JM36" s="782"/>
      <c r="JN36" s="782"/>
      <c r="JO36" s="782"/>
      <c r="JP36" s="782"/>
      <c r="JQ36" s="782"/>
      <c r="JR36" s="782"/>
      <c r="JS36" s="782"/>
      <c r="JT36" s="782"/>
      <c r="JU36" s="782"/>
      <c r="JV36" s="782"/>
      <c r="JW36" s="782"/>
      <c r="JX36" s="782"/>
      <c r="JY36" s="782"/>
      <c r="JZ36" s="782"/>
      <c r="KA36" s="782"/>
      <c r="KB36" s="782"/>
      <c r="KC36" s="782"/>
      <c r="KD36" s="782"/>
      <c r="KE36" s="782"/>
      <c r="KF36" s="782"/>
      <c r="KG36" s="782"/>
      <c r="KH36" s="782"/>
      <c r="KI36" s="782"/>
      <c r="KJ36" s="782"/>
      <c r="KK36" s="782"/>
      <c r="KL36" s="782"/>
      <c r="KM36" s="782"/>
      <c r="KN36" s="782"/>
      <c r="KO36" s="782"/>
      <c r="KP36" s="782"/>
      <c r="KQ36" s="782"/>
      <c r="KR36" s="782"/>
      <c r="KS36" s="782"/>
      <c r="KT36" s="782"/>
      <c r="KU36" s="782"/>
      <c r="KV36" s="782"/>
      <c r="KW36" s="782"/>
      <c r="KX36" s="782"/>
      <c r="KY36" s="782"/>
      <c r="KZ36" s="782"/>
      <c r="LA36" s="782"/>
      <c r="LB36" s="782"/>
      <c r="LC36" s="782"/>
      <c r="LD36" s="782"/>
      <c r="LE36" s="782"/>
      <c r="LF36" s="782"/>
      <c r="LG36" s="782"/>
      <c r="LH36" s="782"/>
      <c r="LI36" s="782"/>
      <c r="LJ36" s="782"/>
      <c r="LK36" s="782"/>
      <c r="LL36" s="782"/>
      <c r="LM36" s="782"/>
      <c r="LN36" s="782"/>
      <c r="LO36" s="782"/>
      <c r="LP36" s="782"/>
      <c r="LQ36" s="782"/>
      <c r="LR36" s="782"/>
      <c r="LS36" s="782"/>
      <c r="LT36" s="782"/>
      <c r="LU36" s="782"/>
      <c r="LV36" s="782"/>
      <c r="LW36" s="782"/>
      <c r="LX36" s="782"/>
      <c r="LY36" s="782"/>
      <c r="LZ36" s="782"/>
      <c r="MA36" s="782"/>
      <c r="MB36" s="782"/>
      <c r="MC36" s="782"/>
      <c r="MD36" s="782"/>
      <c r="ME36" s="782"/>
      <c r="MF36" s="782"/>
      <c r="MG36" s="782"/>
      <c r="MH36" s="782"/>
      <c r="MI36" s="782"/>
      <c r="MJ36" s="782"/>
      <c r="MK36" s="782"/>
      <c r="ML36" s="782"/>
      <c r="MM36" s="782"/>
      <c r="MN36" s="782"/>
      <c r="MO36" s="782"/>
      <c r="MP36" s="782"/>
      <c r="MQ36" s="782"/>
      <c r="MR36" s="782"/>
      <c r="MS36" s="782"/>
      <c r="MT36" s="782"/>
      <c r="MU36" s="782"/>
      <c r="MV36" s="782"/>
      <c r="MW36" s="782"/>
      <c r="MX36" s="782"/>
      <c r="MY36" s="782"/>
      <c r="MZ36" s="782"/>
      <c r="NA36" s="782"/>
      <c r="NB36" s="782"/>
      <c r="NC36" s="782"/>
      <c r="ND36" s="782"/>
      <c r="NE36" s="782"/>
      <c r="NF36" s="782"/>
      <c r="NG36" s="782"/>
      <c r="NH36" s="782"/>
      <c r="NI36" s="782"/>
      <c r="NJ36" s="782"/>
      <c r="NK36" s="782"/>
      <c r="NL36" s="782"/>
      <c r="NM36" s="782"/>
      <c r="NN36" s="782"/>
      <c r="NO36" s="782"/>
      <c r="NP36" s="782"/>
      <c r="NQ36" s="782"/>
      <c r="NR36" s="782"/>
      <c r="NS36" s="782"/>
      <c r="NT36" s="782"/>
      <c r="NU36" s="782"/>
      <c r="NV36" s="782"/>
      <c r="NW36" s="782"/>
      <c r="NX36" s="782"/>
      <c r="NY36" s="782"/>
      <c r="NZ36" s="782"/>
      <c r="OA36" s="782"/>
      <c r="OB36" s="782"/>
      <c r="OC36" s="782"/>
      <c r="OD36" s="782"/>
      <c r="OE36" s="782"/>
      <c r="OF36" s="782"/>
      <c r="OG36" s="782"/>
      <c r="OH36" s="782"/>
      <c r="OI36" s="782"/>
      <c r="OJ36" s="782"/>
      <c r="OK36" s="782"/>
      <c r="OL36" s="782"/>
      <c r="OM36" s="782"/>
      <c r="ON36" s="782"/>
      <c r="OO36" s="782"/>
      <c r="OP36" s="782"/>
      <c r="OQ36" s="782"/>
      <c r="OR36" s="782"/>
      <c r="OS36" s="782"/>
      <c r="OT36" s="782"/>
      <c r="OU36" s="782"/>
      <c r="OV36" s="782"/>
      <c r="OW36" s="782"/>
      <c r="OX36" s="782"/>
      <c r="OY36" s="782"/>
      <c r="OZ36" s="782"/>
      <c r="PA36" s="782"/>
      <c r="PB36" s="782"/>
      <c r="PC36" s="782"/>
      <c r="PD36" s="782"/>
      <c r="PE36" s="782"/>
      <c r="PF36" s="782"/>
      <c r="PG36" s="782"/>
      <c r="PH36" s="782"/>
      <c r="PI36" s="782"/>
      <c r="PJ36" s="782"/>
      <c r="PK36" s="782"/>
      <c r="PL36" s="782"/>
      <c r="PM36" s="782"/>
      <c r="PN36" s="782"/>
      <c r="PO36" s="782"/>
    </row>
    <row r="37" spans="1:431" s="143" customFormat="1">
      <c r="A37" s="782"/>
      <c r="B37" s="782"/>
      <c r="C37" s="785"/>
      <c r="D37" s="785"/>
      <c r="E37" s="785"/>
      <c r="F37" s="785"/>
      <c r="G37" s="785"/>
      <c r="H37" s="785"/>
      <c r="I37" s="785"/>
      <c r="J37" s="785"/>
      <c r="K37" s="785"/>
      <c r="L37" s="785"/>
      <c r="M37" s="782"/>
      <c r="N37" s="782"/>
      <c r="O37" s="782"/>
      <c r="P37" s="782"/>
      <c r="Q37" s="782"/>
      <c r="R37" s="782"/>
      <c r="S37" s="782"/>
      <c r="T37" s="782"/>
      <c r="U37" s="782"/>
      <c r="V37" s="782"/>
      <c r="W37" s="782"/>
      <c r="X37" s="782"/>
      <c r="Y37" s="782"/>
      <c r="Z37" s="782"/>
      <c r="AA37" s="782"/>
      <c r="AB37" s="782"/>
      <c r="AC37" s="782"/>
      <c r="AD37" s="782"/>
      <c r="AE37" s="782"/>
      <c r="AF37" s="782"/>
      <c r="AG37" s="782"/>
      <c r="AH37" s="782"/>
      <c r="AI37" s="782"/>
      <c r="AJ37" s="782"/>
      <c r="AK37" s="782"/>
      <c r="AL37" s="782"/>
      <c r="AM37" s="782"/>
      <c r="AN37" s="782"/>
      <c r="AO37" s="782"/>
      <c r="AP37" s="782"/>
      <c r="AQ37" s="782"/>
      <c r="AR37" s="782"/>
      <c r="AS37" s="782"/>
      <c r="AT37" s="782"/>
      <c r="AU37" s="782"/>
      <c r="AV37" s="782"/>
      <c r="AW37" s="782"/>
      <c r="AX37" s="782"/>
      <c r="AY37" s="782"/>
      <c r="AZ37" s="782"/>
      <c r="BA37" s="782"/>
      <c r="BB37" s="782"/>
      <c r="BC37" s="782"/>
      <c r="BD37" s="782"/>
      <c r="BE37" s="782"/>
      <c r="BF37" s="782"/>
      <c r="BG37" s="782"/>
      <c r="BH37" s="782"/>
      <c r="BI37" s="782"/>
      <c r="BJ37" s="782"/>
      <c r="BK37" s="782"/>
      <c r="BL37" s="782"/>
      <c r="BM37" s="782"/>
      <c r="BN37" s="782"/>
      <c r="BO37" s="782"/>
      <c r="BP37" s="782"/>
      <c r="BQ37" s="782"/>
      <c r="BR37" s="782"/>
      <c r="BS37" s="782"/>
      <c r="BT37" s="782"/>
      <c r="BU37" s="782"/>
      <c r="BV37" s="782"/>
      <c r="BW37" s="782"/>
      <c r="BX37" s="782"/>
      <c r="BY37" s="782"/>
      <c r="BZ37" s="782"/>
      <c r="CA37" s="782"/>
      <c r="CB37" s="782"/>
      <c r="CC37" s="782"/>
      <c r="CD37" s="782"/>
      <c r="CE37" s="782"/>
      <c r="CF37" s="782"/>
      <c r="CG37" s="782"/>
      <c r="CH37" s="782"/>
      <c r="CI37" s="782"/>
      <c r="CJ37" s="782"/>
      <c r="CK37" s="782"/>
      <c r="CL37" s="782"/>
      <c r="CM37" s="782"/>
      <c r="CN37" s="782"/>
      <c r="CO37" s="782"/>
      <c r="CP37" s="782"/>
      <c r="CQ37" s="782"/>
      <c r="CR37" s="782"/>
      <c r="CS37" s="782"/>
      <c r="CT37" s="782"/>
      <c r="CU37" s="782"/>
      <c r="CV37" s="782"/>
      <c r="CW37" s="782"/>
      <c r="CX37" s="782"/>
      <c r="CY37" s="782"/>
      <c r="CZ37" s="782"/>
      <c r="DA37" s="782"/>
      <c r="DB37" s="782"/>
      <c r="DC37" s="782"/>
      <c r="DD37" s="782"/>
      <c r="DE37" s="782"/>
      <c r="DF37" s="782"/>
      <c r="DG37" s="782"/>
      <c r="DH37" s="782"/>
      <c r="DI37" s="782"/>
      <c r="DJ37" s="782"/>
      <c r="DK37" s="782"/>
      <c r="DL37" s="782"/>
      <c r="DM37" s="782"/>
      <c r="DN37" s="782"/>
      <c r="DO37" s="782"/>
      <c r="DP37" s="782"/>
      <c r="DQ37" s="782"/>
      <c r="DR37" s="782"/>
      <c r="DS37" s="782"/>
      <c r="DT37" s="782"/>
      <c r="DU37" s="782"/>
      <c r="DV37" s="782"/>
      <c r="DW37" s="782"/>
      <c r="DX37" s="782"/>
      <c r="DY37" s="782"/>
      <c r="DZ37" s="782"/>
      <c r="EA37" s="782"/>
      <c r="EB37" s="782"/>
      <c r="EC37" s="782"/>
      <c r="ED37" s="782"/>
      <c r="EE37" s="782"/>
      <c r="EF37" s="782"/>
      <c r="EG37" s="782"/>
      <c r="EH37" s="782"/>
      <c r="EI37" s="782"/>
      <c r="EJ37" s="782"/>
      <c r="EK37" s="782"/>
      <c r="EL37" s="782"/>
      <c r="EM37" s="782"/>
      <c r="EN37" s="782"/>
      <c r="EO37" s="782"/>
      <c r="EP37" s="782"/>
      <c r="EQ37" s="782"/>
      <c r="ER37" s="782"/>
      <c r="ES37" s="782"/>
      <c r="ET37" s="782"/>
      <c r="EU37" s="782"/>
      <c r="EV37" s="782"/>
      <c r="EW37" s="782"/>
      <c r="EX37" s="782"/>
      <c r="EY37" s="782"/>
      <c r="EZ37" s="782"/>
      <c r="FA37" s="782"/>
      <c r="FB37" s="782"/>
      <c r="FC37" s="782"/>
      <c r="FD37" s="782"/>
      <c r="FE37" s="782"/>
      <c r="FF37" s="782"/>
      <c r="FG37" s="782"/>
      <c r="FH37" s="782"/>
      <c r="FI37" s="782"/>
      <c r="FJ37" s="782"/>
      <c r="FK37" s="782"/>
      <c r="FL37" s="782"/>
      <c r="FM37" s="782"/>
      <c r="FN37" s="782"/>
      <c r="FO37" s="782"/>
      <c r="FP37" s="782"/>
      <c r="FQ37" s="782"/>
      <c r="FR37" s="782"/>
      <c r="FS37" s="782"/>
      <c r="FT37" s="782"/>
      <c r="FU37" s="782"/>
      <c r="FV37" s="782"/>
      <c r="FW37" s="782"/>
      <c r="FX37" s="782"/>
      <c r="FY37" s="782"/>
      <c r="FZ37" s="782"/>
      <c r="GA37" s="782"/>
      <c r="GB37" s="782"/>
      <c r="GC37" s="782"/>
      <c r="GD37" s="782"/>
      <c r="GE37" s="782"/>
      <c r="GF37" s="782"/>
      <c r="GG37" s="782"/>
      <c r="GH37" s="782"/>
      <c r="GI37" s="782"/>
      <c r="GJ37" s="782"/>
      <c r="GK37" s="782"/>
      <c r="GL37" s="782"/>
      <c r="GM37" s="782"/>
      <c r="GN37" s="782"/>
      <c r="GO37" s="782"/>
      <c r="GP37" s="782"/>
      <c r="GQ37" s="782"/>
      <c r="GR37" s="782"/>
      <c r="GS37" s="782"/>
      <c r="GT37" s="782"/>
      <c r="GU37" s="782"/>
      <c r="GV37" s="782"/>
      <c r="GW37" s="782"/>
      <c r="GX37" s="782"/>
      <c r="GY37" s="782"/>
      <c r="GZ37" s="782"/>
      <c r="HA37" s="782"/>
      <c r="HB37" s="782"/>
      <c r="HC37" s="782"/>
      <c r="HD37" s="782"/>
      <c r="HE37" s="782"/>
      <c r="HF37" s="782"/>
      <c r="HG37" s="782"/>
      <c r="HH37" s="782"/>
      <c r="HI37" s="782"/>
      <c r="HJ37" s="782"/>
      <c r="HK37" s="782"/>
      <c r="HL37" s="782"/>
      <c r="HM37" s="782"/>
      <c r="HN37" s="782"/>
      <c r="HO37" s="782"/>
      <c r="HP37" s="782"/>
      <c r="HQ37" s="782"/>
      <c r="HR37" s="782"/>
      <c r="HS37" s="782"/>
      <c r="HT37" s="782"/>
      <c r="HU37" s="782"/>
      <c r="HV37" s="782"/>
      <c r="HW37" s="782"/>
      <c r="HX37" s="782"/>
      <c r="HY37" s="782"/>
      <c r="HZ37" s="782"/>
      <c r="IA37" s="782"/>
      <c r="IB37" s="782"/>
      <c r="IC37" s="782"/>
      <c r="ID37" s="782"/>
      <c r="IE37" s="782"/>
      <c r="IF37" s="782"/>
      <c r="IG37" s="782"/>
      <c r="IH37" s="782"/>
      <c r="II37" s="782"/>
      <c r="IJ37" s="782"/>
      <c r="IK37" s="782"/>
      <c r="IL37" s="782"/>
      <c r="IM37" s="782"/>
      <c r="IN37" s="782"/>
      <c r="IO37" s="782"/>
      <c r="IP37" s="782"/>
      <c r="IQ37" s="782"/>
      <c r="IR37" s="782"/>
      <c r="IS37" s="782"/>
      <c r="IT37" s="782"/>
      <c r="IU37" s="782"/>
      <c r="IV37" s="782"/>
      <c r="IW37" s="782"/>
      <c r="IX37" s="782"/>
      <c r="IY37" s="782"/>
      <c r="IZ37" s="782"/>
      <c r="JA37" s="782"/>
      <c r="JB37" s="782"/>
      <c r="JC37" s="782"/>
      <c r="JD37" s="782"/>
      <c r="JE37" s="782"/>
      <c r="JF37" s="782"/>
      <c r="JG37" s="782"/>
      <c r="JH37" s="782"/>
      <c r="JI37" s="782"/>
      <c r="JJ37" s="782"/>
      <c r="JK37" s="782"/>
      <c r="JL37" s="782"/>
      <c r="JM37" s="782"/>
      <c r="JN37" s="782"/>
      <c r="JO37" s="782"/>
      <c r="JP37" s="782"/>
      <c r="JQ37" s="782"/>
      <c r="JR37" s="782"/>
      <c r="JS37" s="782"/>
      <c r="JT37" s="782"/>
      <c r="JU37" s="782"/>
      <c r="JV37" s="782"/>
      <c r="JW37" s="782"/>
      <c r="JX37" s="782"/>
      <c r="JY37" s="782"/>
      <c r="JZ37" s="782"/>
      <c r="KA37" s="782"/>
      <c r="KB37" s="782"/>
      <c r="KC37" s="782"/>
      <c r="KD37" s="782"/>
      <c r="KE37" s="782"/>
      <c r="KF37" s="782"/>
      <c r="KG37" s="782"/>
      <c r="KH37" s="782"/>
      <c r="KI37" s="782"/>
      <c r="KJ37" s="782"/>
      <c r="KK37" s="782"/>
      <c r="KL37" s="782"/>
      <c r="KM37" s="782"/>
      <c r="KN37" s="782"/>
      <c r="KO37" s="782"/>
      <c r="KP37" s="782"/>
      <c r="KQ37" s="782"/>
      <c r="KR37" s="782"/>
      <c r="KS37" s="782"/>
      <c r="KT37" s="782"/>
      <c r="KU37" s="782"/>
      <c r="KV37" s="782"/>
      <c r="KW37" s="782"/>
      <c r="KX37" s="782"/>
      <c r="KY37" s="782"/>
      <c r="KZ37" s="782"/>
      <c r="LA37" s="782"/>
      <c r="LB37" s="782"/>
      <c r="LC37" s="782"/>
      <c r="LD37" s="782"/>
      <c r="LE37" s="782"/>
      <c r="LF37" s="782"/>
      <c r="LG37" s="782"/>
      <c r="LH37" s="782"/>
      <c r="LI37" s="782"/>
      <c r="LJ37" s="782"/>
      <c r="LK37" s="782"/>
      <c r="LL37" s="782"/>
      <c r="LM37" s="782"/>
      <c r="LN37" s="782"/>
      <c r="LO37" s="782"/>
      <c r="LP37" s="782"/>
      <c r="LQ37" s="782"/>
      <c r="LR37" s="782"/>
      <c r="LS37" s="782"/>
      <c r="LT37" s="782"/>
      <c r="LU37" s="782"/>
      <c r="LV37" s="782"/>
      <c r="LW37" s="782"/>
      <c r="LX37" s="782"/>
      <c r="LY37" s="782"/>
      <c r="LZ37" s="782"/>
      <c r="MA37" s="782"/>
      <c r="MB37" s="782"/>
      <c r="MC37" s="782"/>
      <c r="MD37" s="782"/>
      <c r="ME37" s="782"/>
      <c r="MF37" s="782"/>
      <c r="MG37" s="782"/>
      <c r="MH37" s="782"/>
      <c r="MI37" s="782"/>
      <c r="MJ37" s="782"/>
      <c r="MK37" s="782"/>
      <c r="ML37" s="782"/>
      <c r="MM37" s="782"/>
      <c r="MN37" s="782"/>
      <c r="MO37" s="782"/>
      <c r="MP37" s="782"/>
      <c r="MQ37" s="782"/>
      <c r="MR37" s="782"/>
      <c r="MS37" s="782"/>
      <c r="MT37" s="782"/>
      <c r="MU37" s="782"/>
      <c r="MV37" s="782"/>
      <c r="MW37" s="782"/>
      <c r="MX37" s="782"/>
      <c r="MY37" s="782"/>
      <c r="MZ37" s="782"/>
      <c r="NA37" s="782"/>
      <c r="NB37" s="782"/>
      <c r="NC37" s="782"/>
      <c r="ND37" s="782"/>
      <c r="NE37" s="782"/>
      <c r="NF37" s="782"/>
      <c r="NG37" s="782"/>
      <c r="NH37" s="782"/>
      <c r="NI37" s="782"/>
      <c r="NJ37" s="782"/>
      <c r="NK37" s="782"/>
      <c r="NL37" s="782"/>
      <c r="NM37" s="782"/>
      <c r="NN37" s="782"/>
      <c r="NO37" s="782"/>
      <c r="NP37" s="782"/>
      <c r="NQ37" s="782"/>
      <c r="NR37" s="782"/>
      <c r="NS37" s="782"/>
      <c r="NT37" s="782"/>
      <c r="NU37" s="782"/>
      <c r="NV37" s="782"/>
      <c r="NW37" s="782"/>
      <c r="NX37" s="782"/>
      <c r="NY37" s="782"/>
      <c r="NZ37" s="782"/>
      <c r="OA37" s="782"/>
      <c r="OB37" s="782"/>
      <c r="OC37" s="782"/>
      <c r="OD37" s="782"/>
      <c r="OE37" s="782"/>
      <c r="OF37" s="782"/>
      <c r="OG37" s="782"/>
      <c r="OH37" s="782"/>
      <c r="OI37" s="782"/>
      <c r="OJ37" s="782"/>
      <c r="OK37" s="782"/>
      <c r="OL37" s="782"/>
      <c r="OM37" s="782"/>
      <c r="ON37" s="782"/>
      <c r="OO37" s="782"/>
      <c r="OP37" s="782"/>
      <c r="OQ37" s="782"/>
      <c r="OR37" s="782"/>
      <c r="OS37" s="782"/>
      <c r="OT37" s="782"/>
      <c r="OU37" s="782"/>
      <c r="OV37" s="782"/>
      <c r="OW37" s="782"/>
      <c r="OX37" s="782"/>
      <c r="OY37" s="782"/>
      <c r="OZ37" s="782"/>
      <c r="PA37" s="782"/>
      <c r="PB37" s="782"/>
      <c r="PC37" s="782"/>
      <c r="PD37" s="782"/>
      <c r="PE37" s="782"/>
      <c r="PF37" s="782"/>
      <c r="PG37" s="782"/>
      <c r="PH37" s="782"/>
      <c r="PI37" s="782"/>
      <c r="PJ37" s="782"/>
      <c r="PK37" s="782"/>
      <c r="PL37" s="782"/>
      <c r="PM37" s="782"/>
      <c r="PN37" s="782"/>
      <c r="PO37" s="782"/>
    </row>
    <row r="38" spans="1:431" s="143" customFormat="1">
      <c r="A38" s="782"/>
      <c r="B38" s="782"/>
      <c r="C38" s="785"/>
      <c r="D38" s="785"/>
      <c r="E38" s="785"/>
      <c r="F38" s="785"/>
      <c r="G38" s="785"/>
      <c r="H38" s="785"/>
      <c r="I38" s="785"/>
      <c r="J38" s="785"/>
      <c r="K38" s="785"/>
      <c r="L38" s="785"/>
      <c r="M38" s="782"/>
      <c r="N38" s="782"/>
      <c r="O38" s="782"/>
      <c r="P38" s="782"/>
      <c r="Q38" s="782"/>
      <c r="R38" s="782"/>
      <c r="S38" s="782"/>
      <c r="T38" s="782"/>
      <c r="U38" s="782"/>
      <c r="V38" s="782"/>
      <c r="W38" s="782"/>
      <c r="X38" s="782"/>
      <c r="Y38" s="782"/>
      <c r="Z38" s="782"/>
      <c r="AA38" s="782"/>
      <c r="AB38" s="782"/>
      <c r="AC38" s="782"/>
      <c r="AD38" s="782"/>
      <c r="AE38" s="782"/>
      <c r="AF38" s="782"/>
      <c r="AG38" s="782"/>
      <c r="AH38" s="782"/>
      <c r="AI38" s="782"/>
      <c r="AJ38" s="782"/>
      <c r="AK38" s="782"/>
      <c r="AL38" s="782"/>
      <c r="AM38" s="782"/>
      <c r="AN38" s="782"/>
      <c r="AO38" s="782"/>
      <c r="AP38" s="782"/>
      <c r="AQ38" s="782"/>
      <c r="AR38" s="782"/>
      <c r="AS38" s="782"/>
      <c r="AT38" s="782"/>
      <c r="AU38" s="782"/>
      <c r="AV38" s="782"/>
      <c r="AW38" s="782"/>
      <c r="AX38" s="782"/>
      <c r="AY38" s="782"/>
      <c r="AZ38" s="782"/>
      <c r="BA38" s="782"/>
      <c r="BB38" s="782"/>
      <c r="BC38" s="782"/>
      <c r="BD38" s="782"/>
      <c r="BE38" s="782"/>
      <c r="BF38" s="782"/>
      <c r="BG38" s="782"/>
      <c r="BH38" s="782"/>
      <c r="BI38" s="782"/>
      <c r="BJ38" s="782"/>
      <c r="BK38" s="782"/>
      <c r="BL38" s="782"/>
      <c r="BM38" s="782"/>
      <c r="BN38" s="782"/>
      <c r="BO38" s="782"/>
      <c r="BP38" s="782"/>
      <c r="BQ38" s="782"/>
      <c r="BR38" s="782"/>
      <c r="BS38" s="782"/>
      <c r="BT38" s="782"/>
      <c r="BU38" s="782"/>
      <c r="BV38" s="782"/>
      <c r="BW38" s="782"/>
      <c r="BX38" s="782"/>
      <c r="BY38" s="782"/>
      <c r="BZ38" s="782"/>
      <c r="CA38" s="782"/>
      <c r="CB38" s="782"/>
      <c r="CC38" s="782"/>
      <c r="CD38" s="782"/>
      <c r="CE38" s="782"/>
      <c r="CF38" s="782"/>
      <c r="CG38" s="782"/>
      <c r="CH38" s="782"/>
      <c r="CI38" s="782"/>
      <c r="CJ38" s="782"/>
      <c r="CK38" s="782"/>
      <c r="CL38" s="782"/>
      <c r="CM38" s="782"/>
      <c r="CN38" s="782"/>
      <c r="CO38" s="782"/>
      <c r="CP38" s="782"/>
      <c r="CQ38" s="782"/>
      <c r="CR38" s="782"/>
      <c r="CS38" s="782"/>
      <c r="CT38" s="782"/>
      <c r="CU38" s="782"/>
      <c r="CV38" s="782"/>
      <c r="CW38" s="782"/>
      <c r="CX38" s="782"/>
      <c r="CY38" s="782"/>
      <c r="CZ38" s="782"/>
      <c r="DA38" s="782"/>
      <c r="DB38" s="782"/>
      <c r="DC38" s="782"/>
      <c r="DD38" s="782"/>
      <c r="DE38" s="782"/>
      <c r="DF38" s="782"/>
      <c r="DG38" s="782"/>
      <c r="DH38" s="782"/>
      <c r="DI38" s="782"/>
      <c r="DJ38" s="782"/>
      <c r="DK38" s="782"/>
      <c r="DL38" s="782"/>
      <c r="DM38" s="782"/>
      <c r="DN38" s="782"/>
      <c r="DO38" s="782"/>
      <c r="DP38" s="782"/>
      <c r="DQ38" s="782"/>
      <c r="DR38" s="782"/>
      <c r="DS38" s="782"/>
      <c r="DT38" s="782"/>
      <c r="DU38" s="782"/>
      <c r="DV38" s="782"/>
      <c r="DW38" s="782"/>
      <c r="DX38" s="782"/>
      <c r="DY38" s="782"/>
      <c r="DZ38" s="782"/>
      <c r="EA38" s="782"/>
      <c r="EB38" s="782"/>
      <c r="EC38" s="782"/>
      <c r="ED38" s="782"/>
      <c r="EE38" s="782"/>
      <c r="EF38" s="782"/>
      <c r="EG38" s="782"/>
      <c r="EH38" s="782"/>
      <c r="EI38" s="782"/>
      <c r="EJ38" s="782"/>
      <c r="EK38" s="782"/>
      <c r="EL38" s="782"/>
      <c r="EM38" s="782"/>
      <c r="EN38" s="782"/>
      <c r="EO38" s="782"/>
      <c r="EP38" s="782"/>
      <c r="EQ38" s="782"/>
      <c r="ER38" s="782"/>
      <c r="ES38" s="782"/>
      <c r="ET38" s="782"/>
      <c r="EU38" s="782"/>
      <c r="EV38" s="782"/>
      <c r="EW38" s="782"/>
      <c r="EX38" s="782"/>
      <c r="EY38" s="782"/>
      <c r="EZ38" s="782"/>
      <c r="FA38" s="782"/>
      <c r="FB38" s="782"/>
      <c r="FC38" s="782"/>
      <c r="FD38" s="782"/>
      <c r="FE38" s="782"/>
      <c r="FF38" s="782"/>
      <c r="FG38" s="782"/>
      <c r="FH38" s="782"/>
      <c r="FI38" s="782"/>
      <c r="FJ38" s="782"/>
      <c r="FK38" s="782"/>
      <c r="FL38" s="782"/>
      <c r="FM38" s="782"/>
      <c r="FN38" s="782"/>
      <c r="FO38" s="782"/>
      <c r="FP38" s="782"/>
      <c r="FQ38" s="782"/>
      <c r="FR38" s="782"/>
      <c r="FS38" s="782"/>
      <c r="FT38" s="782"/>
      <c r="FU38" s="782"/>
      <c r="FV38" s="782"/>
      <c r="FW38" s="782"/>
      <c r="FX38" s="782"/>
      <c r="FY38" s="782"/>
      <c r="FZ38" s="782"/>
      <c r="GA38" s="782"/>
      <c r="GB38" s="782"/>
      <c r="GC38" s="782"/>
      <c r="GD38" s="782"/>
      <c r="GE38" s="782"/>
      <c r="GF38" s="782"/>
      <c r="GG38" s="782"/>
      <c r="GH38" s="782"/>
      <c r="GI38" s="782"/>
      <c r="GJ38" s="782"/>
      <c r="GK38" s="782"/>
      <c r="GL38" s="782"/>
      <c r="GM38" s="782"/>
      <c r="GN38" s="782"/>
      <c r="GO38" s="782"/>
      <c r="GP38" s="782"/>
      <c r="GQ38" s="782"/>
      <c r="GR38" s="782"/>
      <c r="GS38" s="782"/>
      <c r="GT38" s="782"/>
      <c r="GU38" s="782"/>
      <c r="GV38" s="782"/>
      <c r="GW38" s="782"/>
      <c r="GX38" s="782"/>
      <c r="GY38" s="782"/>
      <c r="GZ38" s="782"/>
      <c r="HA38" s="782"/>
      <c r="HB38" s="782"/>
      <c r="HC38" s="782"/>
      <c r="HD38" s="782"/>
      <c r="HE38" s="782"/>
      <c r="HF38" s="782"/>
      <c r="HG38" s="782"/>
      <c r="HH38" s="782"/>
      <c r="HI38" s="782"/>
      <c r="HJ38" s="782"/>
      <c r="HK38" s="782"/>
      <c r="HL38" s="782"/>
      <c r="HM38" s="782"/>
      <c r="HN38" s="782"/>
      <c r="HO38" s="782"/>
      <c r="HP38" s="782"/>
      <c r="HQ38" s="782"/>
      <c r="HR38" s="782"/>
      <c r="HS38" s="782"/>
      <c r="HT38" s="782"/>
      <c r="HU38" s="782"/>
      <c r="HV38" s="782"/>
      <c r="HW38" s="782"/>
      <c r="HX38" s="782"/>
      <c r="HY38" s="782"/>
      <c r="HZ38" s="782"/>
      <c r="IA38" s="782"/>
      <c r="IB38" s="782"/>
      <c r="IC38" s="782"/>
      <c r="ID38" s="782"/>
      <c r="IE38" s="782"/>
      <c r="IF38" s="782"/>
      <c r="IG38" s="782"/>
      <c r="IH38" s="782"/>
      <c r="II38" s="782"/>
      <c r="IJ38" s="782"/>
      <c r="IK38" s="782"/>
      <c r="IL38" s="782"/>
      <c r="IM38" s="782"/>
      <c r="IN38" s="782"/>
      <c r="IO38" s="782"/>
      <c r="IP38" s="782"/>
      <c r="IQ38" s="782"/>
      <c r="IR38" s="782"/>
      <c r="IS38" s="782"/>
      <c r="IT38" s="782"/>
      <c r="IU38" s="782"/>
      <c r="IV38" s="782"/>
      <c r="IW38" s="782"/>
      <c r="IX38" s="782"/>
      <c r="IY38" s="782"/>
      <c r="IZ38" s="782"/>
      <c r="JA38" s="782"/>
      <c r="JB38" s="782"/>
      <c r="JC38" s="782"/>
      <c r="JD38" s="782"/>
      <c r="JE38" s="782"/>
      <c r="JF38" s="782"/>
      <c r="JG38" s="782"/>
      <c r="JH38" s="782"/>
      <c r="JI38" s="782"/>
      <c r="JJ38" s="782"/>
      <c r="JK38" s="782"/>
      <c r="JL38" s="782"/>
      <c r="JM38" s="782"/>
      <c r="JN38" s="782"/>
      <c r="JO38" s="782"/>
      <c r="JP38" s="782"/>
      <c r="JQ38" s="782"/>
      <c r="JR38" s="782"/>
      <c r="JS38" s="782"/>
      <c r="JT38" s="782"/>
      <c r="JU38" s="782"/>
      <c r="JV38" s="782"/>
      <c r="JW38" s="782"/>
      <c r="JX38" s="782"/>
      <c r="JY38" s="782"/>
      <c r="JZ38" s="782"/>
      <c r="KA38" s="782"/>
      <c r="KB38" s="782"/>
      <c r="KC38" s="782"/>
      <c r="KD38" s="782"/>
      <c r="KE38" s="782"/>
      <c r="KF38" s="782"/>
      <c r="KG38" s="782"/>
      <c r="KH38" s="782"/>
      <c r="KI38" s="782"/>
      <c r="KJ38" s="782"/>
      <c r="KK38" s="782"/>
      <c r="KL38" s="782"/>
      <c r="KM38" s="782"/>
      <c r="KN38" s="782"/>
      <c r="KO38" s="782"/>
      <c r="KP38" s="782"/>
      <c r="KQ38" s="782"/>
      <c r="KR38" s="782"/>
      <c r="KS38" s="782"/>
      <c r="KT38" s="782"/>
      <c r="KU38" s="782"/>
      <c r="KV38" s="782"/>
      <c r="KW38" s="782"/>
      <c r="KX38" s="782"/>
      <c r="KY38" s="782"/>
      <c r="KZ38" s="782"/>
      <c r="LA38" s="782"/>
      <c r="LB38" s="782"/>
      <c r="LC38" s="782"/>
      <c r="LD38" s="782"/>
      <c r="LE38" s="782"/>
      <c r="LF38" s="782"/>
      <c r="LG38" s="782"/>
      <c r="LH38" s="782"/>
      <c r="LI38" s="782"/>
      <c r="LJ38" s="782"/>
      <c r="LK38" s="782"/>
      <c r="LL38" s="782"/>
      <c r="LM38" s="782"/>
      <c r="LN38" s="782"/>
      <c r="LO38" s="782"/>
      <c r="LP38" s="782"/>
      <c r="LQ38" s="782"/>
      <c r="LR38" s="782"/>
      <c r="LS38" s="782"/>
      <c r="LT38" s="782"/>
      <c r="LU38" s="782"/>
      <c r="LV38" s="782"/>
      <c r="LW38" s="782"/>
      <c r="LX38" s="782"/>
      <c r="LY38" s="782"/>
      <c r="LZ38" s="782"/>
      <c r="MA38" s="782"/>
      <c r="MB38" s="782"/>
      <c r="MC38" s="782"/>
      <c r="MD38" s="782"/>
      <c r="ME38" s="782"/>
      <c r="MF38" s="782"/>
      <c r="MG38" s="782"/>
      <c r="MH38" s="782"/>
      <c r="MI38" s="782"/>
      <c r="MJ38" s="782"/>
      <c r="MK38" s="782"/>
      <c r="ML38" s="782"/>
      <c r="MM38" s="782"/>
      <c r="MN38" s="782"/>
      <c r="MO38" s="782"/>
      <c r="MP38" s="782"/>
      <c r="MQ38" s="782"/>
      <c r="MR38" s="782"/>
      <c r="MS38" s="782"/>
      <c r="MT38" s="782"/>
      <c r="MU38" s="782"/>
      <c r="MV38" s="782"/>
      <c r="MW38" s="782"/>
      <c r="MX38" s="782"/>
      <c r="MY38" s="782"/>
      <c r="MZ38" s="782"/>
      <c r="NA38" s="782"/>
      <c r="NB38" s="782"/>
      <c r="NC38" s="782"/>
      <c r="ND38" s="782"/>
      <c r="NE38" s="782"/>
      <c r="NF38" s="782"/>
      <c r="NG38" s="782"/>
      <c r="NH38" s="782"/>
      <c r="NI38" s="782"/>
      <c r="NJ38" s="782"/>
      <c r="NK38" s="782"/>
      <c r="NL38" s="782"/>
      <c r="NM38" s="782"/>
      <c r="NN38" s="782"/>
      <c r="NO38" s="782"/>
      <c r="NP38" s="782"/>
      <c r="NQ38" s="782"/>
      <c r="NR38" s="782"/>
      <c r="NS38" s="782"/>
      <c r="NT38" s="782"/>
      <c r="NU38" s="782"/>
      <c r="NV38" s="782"/>
      <c r="NW38" s="782"/>
      <c r="NX38" s="782"/>
      <c r="NY38" s="782"/>
      <c r="NZ38" s="782"/>
      <c r="OA38" s="782"/>
      <c r="OB38" s="782"/>
      <c r="OC38" s="782"/>
      <c r="OD38" s="782"/>
      <c r="OE38" s="782"/>
      <c r="OF38" s="782"/>
      <c r="OG38" s="782"/>
      <c r="OH38" s="782"/>
      <c r="OI38" s="782"/>
      <c r="OJ38" s="782"/>
      <c r="OK38" s="782"/>
      <c r="OL38" s="782"/>
      <c r="OM38" s="782"/>
      <c r="ON38" s="782"/>
      <c r="OO38" s="782"/>
      <c r="OP38" s="782"/>
      <c r="OQ38" s="782"/>
      <c r="OR38" s="782"/>
      <c r="OS38" s="782"/>
      <c r="OT38" s="782"/>
      <c r="OU38" s="782"/>
      <c r="OV38" s="782"/>
      <c r="OW38" s="782"/>
      <c r="OX38" s="782"/>
      <c r="OY38" s="782"/>
      <c r="OZ38" s="782"/>
      <c r="PA38" s="782"/>
      <c r="PB38" s="782"/>
      <c r="PC38" s="782"/>
      <c r="PD38" s="782"/>
      <c r="PE38" s="782"/>
      <c r="PF38" s="782"/>
      <c r="PG38" s="782"/>
      <c r="PH38" s="782"/>
      <c r="PI38" s="782"/>
      <c r="PJ38" s="782"/>
      <c r="PK38" s="782"/>
      <c r="PL38" s="782"/>
      <c r="PM38" s="782"/>
      <c r="PN38" s="782"/>
      <c r="PO38" s="782"/>
    </row>
    <row r="39" spans="1:431" s="143" customFormat="1">
      <c r="A39" s="782"/>
      <c r="B39" s="782"/>
      <c r="C39" s="785"/>
      <c r="D39" s="785"/>
      <c r="E39" s="785"/>
      <c r="F39" s="785"/>
      <c r="G39" s="785"/>
      <c r="H39" s="785"/>
      <c r="I39" s="785"/>
      <c r="J39" s="785"/>
      <c r="K39" s="785"/>
      <c r="L39" s="785"/>
      <c r="M39" s="782"/>
      <c r="N39" s="782"/>
      <c r="O39" s="782"/>
      <c r="P39" s="782"/>
      <c r="Q39" s="782"/>
      <c r="R39" s="782"/>
      <c r="S39" s="782"/>
      <c r="T39" s="782"/>
      <c r="U39" s="782"/>
      <c r="V39" s="782"/>
      <c r="W39" s="782"/>
      <c r="X39" s="782"/>
      <c r="Y39" s="782"/>
      <c r="Z39" s="782"/>
      <c r="AA39" s="782"/>
      <c r="AB39" s="782"/>
      <c r="AC39" s="782"/>
      <c r="AD39" s="782"/>
      <c r="AE39" s="782"/>
      <c r="AF39" s="782"/>
      <c r="AG39" s="782"/>
      <c r="AH39" s="782"/>
      <c r="AI39" s="782"/>
      <c r="AJ39" s="782"/>
      <c r="AK39" s="782"/>
      <c r="AL39" s="782"/>
      <c r="AM39" s="782"/>
      <c r="AN39" s="782"/>
      <c r="AO39" s="782"/>
      <c r="AP39" s="782"/>
      <c r="AQ39" s="782"/>
      <c r="AR39" s="782"/>
      <c r="AS39" s="782"/>
      <c r="AT39" s="782"/>
      <c r="AU39" s="782"/>
      <c r="AV39" s="782"/>
      <c r="AW39" s="782"/>
      <c r="AX39" s="782"/>
      <c r="AY39" s="782"/>
      <c r="AZ39" s="782"/>
      <c r="BA39" s="782"/>
      <c r="BB39" s="782"/>
      <c r="BC39" s="782"/>
      <c r="BD39" s="782"/>
      <c r="BE39" s="782"/>
      <c r="BF39" s="782"/>
      <c r="BG39" s="782"/>
      <c r="BH39" s="782"/>
      <c r="BI39" s="782"/>
      <c r="BJ39" s="782"/>
      <c r="BK39" s="782"/>
      <c r="BL39" s="782"/>
      <c r="BM39" s="782"/>
      <c r="BN39" s="782"/>
      <c r="BO39" s="782"/>
      <c r="BP39" s="782"/>
      <c r="BQ39" s="782"/>
      <c r="BR39" s="782"/>
      <c r="BS39" s="782"/>
      <c r="BT39" s="782"/>
      <c r="BU39" s="782"/>
      <c r="BV39" s="782"/>
      <c r="BW39" s="782"/>
      <c r="BX39" s="782"/>
      <c r="BY39" s="782"/>
      <c r="BZ39" s="782"/>
      <c r="CA39" s="782"/>
      <c r="CB39" s="782"/>
      <c r="CC39" s="782"/>
      <c r="CD39" s="782"/>
      <c r="CE39" s="782"/>
      <c r="CF39" s="782"/>
      <c r="CG39" s="782"/>
      <c r="CH39" s="782"/>
      <c r="CI39" s="782"/>
      <c r="CJ39" s="782"/>
      <c r="CK39" s="782"/>
      <c r="CL39" s="782"/>
      <c r="CM39" s="782"/>
      <c r="CN39" s="782"/>
      <c r="CO39" s="782"/>
      <c r="CP39" s="782"/>
      <c r="CQ39" s="782"/>
      <c r="CR39" s="782"/>
      <c r="CS39" s="782"/>
      <c r="CT39" s="782"/>
      <c r="CU39" s="782"/>
      <c r="CV39" s="782"/>
      <c r="CW39" s="782"/>
      <c r="CX39" s="782"/>
      <c r="CY39" s="782"/>
      <c r="CZ39" s="782"/>
      <c r="DA39" s="782"/>
      <c r="DB39" s="782"/>
      <c r="DC39" s="782"/>
      <c r="DD39" s="782"/>
      <c r="DE39" s="782"/>
      <c r="DF39" s="782"/>
      <c r="DG39" s="782"/>
      <c r="DH39" s="782"/>
      <c r="DI39" s="782"/>
      <c r="DJ39" s="782"/>
      <c r="DK39" s="782"/>
      <c r="DL39" s="782"/>
      <c r="DM39" s="782"/>
      <c r="DN39" s="782"/>
      <c r="DO39" s="782"/>
      <c r="DP39" s="782"/>
      <c r="DQ39" s="782"/>
      <c r="DR39" s="782"/>
      <c r="DS39" s="782"/>
      <c r="DT39" s="782"/>
      <c r="DU39" s="782"/>
      <c r="DV39" s="782"/>
      <c r="DW39" s="782"/>
      <c r="DX39" s="782"/>
      <c r="DY39" s="782"/>
      <c r="DZ39" s="782"/>
      <c r="EA39" s="782"/>
      <c r="EB39" s="782"/>
      <c r="EC39" s="782"/>
      <c r="ED39" s="782"/>
      <c r="EE39" s="782"/>
      <c r="EF39" s="782"/>
      <c r="EG39" s="782"/>
      <c r="EH39" s="782"/>
      <c r="EI39" s="782"/>
      <c r="EJ39" s="782"/>
      <c r="EK39" s="782"/>
      <c r="EL39" s="782"/>
      <c r="EM39" s="782"/>
      <c r="EN39" s="782"/>
      <c r="EO39" s="782"/>
      <c r="EP39" s="782"/>
      <c r="EQ39" s="782"/>
      <c r="ER39" s="782"/>
      <c r="ES39" s="782"/>
      <c r="ET39" s="782"/>
      <c r="EU39" s="782"/>
      <c r="EV39" s="782"/>
      <c r="EW39" s="782"/>
      <c r="EX39" s="782"/>
      <c r="EY39" s="782"/>
      <c r="EZ39" s="782"/>
      <c r="FA39" s="782"/>
      <c r="FB39" s="782"/>
      <c r="FC39" s="782"/>
      <c r="FD39" s="782"/>
      <c r="FE39" s="782"/>
      <c r="FF39" s="782"/>
      <c r="FG39" s="782"/>
      <c r="FH39" s="782"/>
      <c r="FI39" s="782"/>
      <c r="FJ39" s="782"/>
      <c r="FK39" s="782"/>
      <c r="FL39" s="782"/>
      <c r="FM39" s="782"/>
      <c r="FN39" s="782"/>
      <c r="FO39" s="782"/>
      <c r="FP39" s="782"/>
      <c r="FQ39" s="782"/>
      <c r="FR39" s="782"/>
      <c r="FS39" s="782"/>
      <c r="FT39" s="782"/>
      <c r="FU39" s="782"/>
      <c r="FV39" s="782"/>
      <c r="FW39" s="782"/>
      <c r="FX39" s="782"/>
      <c r="FY39" s="782"/>
      <c r="FZ39" s="782"/>
      <c r="GA39" s="782"/>
      <c r="GB39" s="782"/>
      <c r="GC39" s="782"/>
      <c r="GD39" s="782"/>
      <c r="GE39" s="782"/>
      <c r="GF39" s="782"/>
      <c r="GG39" s="782"/>
      <c r="GH39" s="782"/>
      <c r="GI39" s="782"/>
      <c r="GJ39" s="782"/>
      <c r="GK39" s="782"/>
      <c r="GL39" s="782"/>
      <c r="GM39" s="782"/>
      <c r="GN39" s="782"/>
      <c r="GO39" s="782"/>
      <c r="GP39" s="782"/>
      <c r="GQ39" s="782"/>
      <c r="GR39" s="782"/>
      <c r="GS39" s="782"/>
      <c r="GT39" s="782"/>
      <c r="GU39" s="782"/>
      <c r="GV39" s="782"/>
      <c r="GW39" s="782"/>
      <c r="GX39" s="782"/>
      <c r="GY39" s="782"/>
      <c r="GZ39" s="782"/>
      <c r="HA39" s="782"/>
      <c r="HB39" s="782"/>
      <c r="HC39" s="782"/>
      <c r="HD39" s="782"/>
      <c r="HE39" s="782"/>
      <c r="HF39" s="782"/>
      <c r="HG39" s="782"/>
      <c r="HH39" s="782"/>
      <c r="HI39" s="782"/>
      <c r="HJ39" s="782"/>
      <c r="HK39" s="782"/>
      <c r="HL39" s="782"/>
      <c r="HM39" s="782"/>
      <c r="HN39" s="782"/>
      <c r="HO39" s="782"/>
      <c r="HP39" s="782"/>
      <c r="HQ39" s="782"/>
      <c r="HR39" s="782"/>
      <c r="HS39" s="782"/>
      <c r="HT39" s="782"/>
      <c r="HU39" s="782"/>
      <c r="HV39" s="782"/>
      <c r="HW39" s="782"/>
      <c r="HX39" s="782"/>
      <c r="HY39" s="782"/>
      <c r="HZ39" s="782"/>
      <c r="IA39" s="782"/>
      <c r="IB39" s="782"/>
      <c r="IC39" s="782"/>
      <c r="ID39" s="782"/>
      <c r="IE39" s="782"/>
      <c r="IF39" s="782"/>
      <c r="IG39" s="782"/>
      <c r="IH39" s="782"/>
      <c r="II39" s="782"/>
      <c r="IJ39" s="782"/>
      <c r="IK39" s="782"/>
      <c r="IL39" s="782"/>
      <c r="IM39" s="782"/>
      <c r="IN39" s="782"/>
      <c r="IO39" s="782"/>
      <c r="IP39" s="782"/>
      <c r="IQ39" s="782"/>
      <c r="IR39" s="782"/>
      <c r="IS39" s="782"/>
      <c r="IT39" s="782"/>
      <c r="IU39" s="782"/>
      <c r="IV39" s="782"/>
      <c r="IW39" s="782"/>
      <c r="IX39" s="782"/>
      <c r="IY39" s="782"/>
      <c r="IZ39" s="782"/>
      <c r="JA39" s="782"/>
      <c r="JB39" s="782"/>
      <c r="JC39" s="782"/>
      <c r="JD39" s="782"/>
      <c r="JE39" s="782"/>
      <c r="JF39" s="782"/>
      <c r="JG39" s="782"/>
      <c r="JH39" s="782"/>
      <c r="JI39" s="782"/>
      <c r="JJ39" s="782"/>
      <c r="JK39" s="782"/>
      <c r="JL39" s="782"/>
      <c r="JM39" s="782"/>
      <c r="JN39" s="782"/>
      <c r="JO39" s="782"/>
      <c r="JP39" s="782"/>
      <c r="JQ39" s="782"/>
      <c r="JR39" s="782"/>
      <c r="JS39" s="782"/>
      <c r="JT39" s="782"/>
      <c r="JU39" s="782"/>
      <c r="JV39" s="782"/>
      <c r="JW39" s="782"/>
      <c r="JX39" s="782"/>
      <c r="JY39" s="782"/>
      <c r="JZ39" s="782"/>
      <c r="KA39" s="782"/>
      <c r="KB39" s="782"/>
      <c r="KC39" s="782"/>
      <c r="KD39" s="782"/>
      <c r="KE39" s="782"/>
      <c r="KF39" s="782"/>
      <c r="KG39" s="782"/>
      <c r="KH39" s="782"/>
      <c r="KI39" s="782"/>
      <c r="KJ39" s="782"/>
      <c r="KK39" s="782"/>
      <c r="KL39" s="782"/>
      <c r="KM39" s="782"/>
      <c r="KN39" s="782"/>
      <c r="KO39" s="782"/>
      <c r="KP39" s="782"/>
      <c r="KQ39" s="782"/>
      <c r="KR39" s="782"/>
      <c r="KS39" s="782"/>
      <c r="KT39" s="782"/>
      <c r="KU39" s="782"/>
      <c r="KV39" s="782"/>
      <c r="KW39" s="782"/>
      <c r="KX39" s="782"/>
      <c r="KY39" s="782"/>
      <c r="KZ39" s="782"/>
      <c r="LA39" s="782"/>
      <c r="LB39" s="782"/>
      <c r="LC39" s="782"/>
      <c r="LD39" s="782"/>
      <c r="LE39" s="782"/>
      <c r="LF39" s="782"/>
      <c r="LG39" s="782"/>
      <c r="LH39" s="782"/>
      <c r="LI39" s="782"/>
      <c r="LJ39" s="782"/>
      <c r="LK39" s="782"/>
      <c r="LL39" s="782"/>
      <c r="LM39" s="782"/>
      <c r="LN39" s="782"/>
      <c r="LO39" s="782"/>
      <c r="LP39" s="782"/>
      <c r="LQ39" s="782"/>
      <c r="LR39" s="782"/>
      <c r="LS39" s="782"/>
      <c r="LT39" s="782"/>
      <c r="LU39" s="782"/>
      <c r="LV39" s="782"/>
      <c r="LW39" s="782"/>
      <c r="LX39" s="782"/>
      <c r="LY39" s="782"/>
      <c r="LZ39" s="782"/>
      <c r="MA39" s="782"/>
      <c r="MB39" s="782"/>
      <c r="MC39" s="782"/>
      <c r="MD39" s="782"/>
      <c r="ME39" s="782"/>
      <c r="MF39" s="782"/>
      <c r="MG39" s="782"/>
      <c r="MH39" s="782"/>
      <c r="MI39" s="782"/>
      <c r="MJ39" s="782"/>
      <c r="MK39" s="782"/>
      <c r="ML39" s="782"/>
      <c r="MM39" s="782"/>
      <c r="MN39" s="782"/>
      <c r="MO39" s="782"/>
      <c r="MP39" s="782"/>
      <c r="MQ39" s="782"/>
      <c r="MR39" s="782"/>
      <c r="MS39" s="782"/>
      <c r="MT39" s="782"/>
      <c r="MU39" s="782"/>
      <c r="MV39" s="782"/>
      <c r="MW39" s="782"/>
      <c r="MX39" s="782"/>
      <c r="MY39" s="782"/>
      <c r="MZ39" s="782"/>
      <c r="NA39" s="782"/>
      <c r="NB39" s="782"/>
      <c r="NC39" s="782"/>
      <c r="ND39" s="782"/>
      <c r="NE39" s="782"/>
      <c r="NF39" s="782"/>
      <c r="NG39" s="782"/>
      <c r="NH39" s="782"/>
      <c r="NI39" s="782"/>
      <c r="NJ39" s="782"/>
      <c r="NK39" s="782"/>
      <c r="NL39" s="782"/>
      <c r="NM39" s="782"/>
      <c r="NN39" s="782"/>
      <c r="NO39" s="782"/>
      <c r="NP39" s="782"/>
      <c r="NQ39" s="782"/>
      <c r="NR39" s="782"/>
      <c r="NS39" s="782"/>
      <c r="NT39" s="782"/>
      <c r="NU39" s="782"/>
      <c r="NV39" s="782"/>
      <c r="NW39" s="782"/>
      <c r="NX39" s="782"/>
      <c r="NY39" s="782"/>
      <c r="NZ39" s="782"/>
      <c r="OA39" s="782"/>
      <c r="OB39" s="782"/>
      <c r="OC39" s="782"/>
      <c r="OD39" s="782"/>
      <c r="OE39" s="782"/>
      <c r="OF39" s="782"/>
      <c r="OG39" s="782"/>
      <c r="OH39" s="782"/>
      <c r="OI39" s="782"/>
      <c r="OJ39" s="782"/>
      <c r="OK39" s="782"/>
      <c r="OL39" s="782"/>
      <c r="OM39" s="782"/>
      <c r="ON39" s="782"/>
      <c r="OO39" s="782"/>
      <c r="OP39" s="782"/>
      <c r="OQ39" s="782"/>
      <c r="OR39" s="782"/>
      <c r="OS39" s="782"/>
      <c r="OT39" s="782"/>
      <c r="OU39" s="782"/>
      <c r="OV39" s="782"/>
      <c r="OW39" s="782"/>
      <c r="OX39" s="782"/>
      <c r="OY39" s="782"/>
      <c r="OZ39" s="782"/>
      <c r="PA39" s="782"/>
      <c r="PB39" s="782"/>
      <c r="PC39" s="782"/>
      <c r="PD39" s="782"/>
      <c r="PE39" s="782"/>
      <c r="PF39" s="782"/>
      <c r="PG39" s="782"/>
      <c r="PH39" s="782"/>
      <c r="PI39" s="782"/>
      <c r="PJ39" s="782"/>
      <c r="PK39" s="782"/>
      <c r="PL39" s="782"/>
      <c r="PM39" s="782"/>
      <c r="PN39" s="782"/>
      <c r="PO39" s="782"/>
    </row>
    <row r="40" spans="1:431" s="143" customFormat="1">
      <c r="A40" s="782"/>
      <c r="B40" s="782"/>
      <c r="C40" s="785"/>
      <c r="D40" s="785"/>
      <c r="E40" s="785"/>
      <c r="F40" s="785"/>
      <c r="G40" s="785"/>
      <c r="H40" s="785"/>
      <c r="I40" s="785"/>
      <c r="J40" s="785"/>
      <c r="K40" s="785"/>
      <c r="L40" s="785"/>
      <c r="M40" s="782"/>
      <c r="N40" s="782"/>
      <c r="O40" s="782"/>
      <c r="P40" s="782"/>
      <c r="Q40" s="782"/>
      <c r="R40" s="782"/>
      <c r="S40" s="782"/>
      <c r="T40" s="782"/>
      <c r="U40" s="782"/>
      <c r="V40" s="782"/>
      <c r="W40" s="782"/>
      <c r="X40" s="782"/>
      <c r="Y40" s="782"/>
      <c r="Z40" s="782"/>
      <c r="AA40" s="782"/>
      <c r="AB40" s="782"/>
      <c r="AC40" s="782"/>
      <c r="AD40" s="782"/>
      <c r="AE40" s="782"/>
      <c r="AF40" s="782"/>
      <c r="AG40" s="782"/>
      <c r="AH40" s="782"/>
      <c r="AI40" s="782"/>
      <c r="AJ40" s="782"/>
      <c r="AK40" s="782"/>
      <c r="AL40" s="782"/>
      <c r="AM40" s="782"/>
      <c r="AN40" s="782"/>
      <c r="AO40" s="782"/>
      <c r="AP40" s="782"/>
      <c r="AQ40" s="782"/>
      <c r="AR40" s="782"/>
      <c r="AS40" s="782"/>
      <c r="AT40" s="782"/>
      <c r="AU40" s="782"/>
      <c r="AV40" s="782"/>
      <c r="AW40" s="782"/>
      <c r="AX40" s="782"/>
      <c r="AY40" s="782"/>
      <c r="AZ40" s="782"/>
      <c r="BA40" s="782"/>
      <c r="BB40" s="782"/>
      <c r="BC40" s="782"/>
      <c r="BD40" s="782"/>
      <c r="BE40" s="782"/>
      <c r="BF40" s="782"/>
      <c r="BG40" s="782"/>
      <c r="BH40" s="782"/>
      <c r="BI40" s="782"/>
      <c r="BJ40" s="782"/>
      <c r="BK40" s="782"/>
      <c r="BL40" s="782"/>
      <c r="BM40" s="782"/>
      <c r="BN40" s="782"/>
      <c r="BO40" s="782"/>
      <c r="BP40" s="782"/>
      <c r="BQ40" s="782"/>
      <c r="BR40" s="782"/>
      <c r="BS40" s="782"/>
      <c r="BT40" s="782"/>
      <c r="BU40" s="782"/>
      <c r="BV40" s="782"/>
      <c r="BW40" s="782"/>
      <c r="BX40" s="782"/>
      <c r="BY40" s="782"/>
      <c r="BZ40" s="782"/>
      <c r="CA40" s="782"/>
      <c r="CB40" s="782"/>
      <c r="CC40" s="782"/>
      <c r="CD40" s="782"/>
      <c r="CE40" s="782"/>
      <c r="CF40" s="782"/>
      <c r="CG40" s="782"/>
      <c r="CH40" s="782"/>
      <c r="CI40" s="782"/>
      <c r="CJ40" s="782"/>
      <c r="CK40" s="782"/>
      <c r="CL40" s="782"/>
      <c r="CM40" s="782"/>
      <c r="CN40" s="782"/>
      <c r="CO40" s="782"/>
      <c r="CP40" s="782"/>
      <c r="CQ40" s="782"/>
      <c r="CR40" s="782"/>
      <c r="CS40" s="782"/>
      <c r="CT40" s="782"/>
      <c r="CU40" s="782"/>
      <c r="CV40" s="782"/>
      <c r="CW40" s="782"/>
      <c r="CX40" s="782"/>
      <c r="CY40" s="782"/>
      <c r="CZ40" s="782"/>
      <c r="DA40" s="782"/>
      <c r="DB40" s="782"/>
      <c r="DC40" s="782"/>
      <c r="DD40" s="782"/>
      <c r="DE40" s="782"/>
      <c r="DF40" s="782"/>
      <c r="DG40" s="782"/>
      <c r="DH40" s="782"/>
      <c r="DI40" s="782"/>
      <c r="DJ40" s="782"/>
      <c r="DK40" s="782"/>
      <c r="DL40" s="782"/>
      <c r="DM40" s="782"/>
      <c r="DN40" s="782"/>
      <c r="DO40" s="782"/>
      <c r="DP40" s="782"/>
      <c r="DQ40" s="782"/>
      <c r="DR40" s="782"/>
      <c r="DS40" s="782"/>
      <c r="DT40" s="782"/>
      <c r="DU40" s="782"/>
      <c r="DV40" s="782"/>
      <c r="DW40" s="782"/>
      <c r="DX40" s="782"/>
      <c r="DY40" s="782"/>
      <c r="DZ40" s="782"/>
      <c r="EA40" s="782"/>
      <c r="EB40" s="782"/>
      <c r="EC40" s="782"/>
      <c r="ED40" s="782"/>
      <c r="EE40" s="782"/>
      <c r="EF40" s="782"/>
      <c r="EG40" s="782"/>
      <c r="EH40" s="782"/>
      <c r="EI40" s="782"/>
      <c r="EJ40" s="782"/>
      <c r="EK40" s="782"/>
      <c r="EL40" s="782"/>
      <c r="EM40" s="782"/>
      <c r="EN40" s="782"/>
      <c r="EO40" s="782"/>
      <c r="EP40" s="782"/>
      <c r="EQ40" s="782"/>
      <c r="ER40" s="782"/>
      <c r="ES40" s="782"/>
      <c r="ET40" s="782"/>
      <c r="EU40" s="782"/>
      <c r="EV40" s="782"/>
      <c r="EW40" s="782"/>
      <c r="EX40" s="782"/>
      <c r="EY40" s="782"/>
      <c r="EZ40" s="782"/>
      <c r="FA40" s="782"/>
      <c r="FB40" s="782"/>
      <c r="FC40" s="782"/>
      <c r="FD40" s="782"/>
      <c r="FE40" s="782"/>
      <c r="FF40" s="782"/>
      <c r="FG40" s="782"/>
      <c r="FH40" s="782"/>
      <c r="FI40" s="782"/>
      <c r="FJ40" s="782"/>
      <c r="FK40" s="782"/>
      <c r="FL40" s="782"/>
      <c r="FM40" s="782"/>
      <c r="FN40" s="782"/>
      <c r="FO40" s="782"/>
      <c r="FP40" s="782"/>
      <c r="FQ40" s="782"/>
      <c r="FR40" s="782"/>
      <c r="FS40" s="782"/>
      <c r="FT40" s="782"/>
      <c r="FU40" s="782"/>
      <c r="FV40" s="782"/>
      <c r="FW40" s="782"/>
      <c r="FX40" s="782"/>
      <c r="FY40" s="782"/>
      <c r="FZ40" s="782"/>
      <c r="GA40" s="782"/>
      <c r="GB40" s="782"/>
      <c r="GC40" s="782"/>
      <c r="GD40" s="782"/>
      <c r="GE40" s="782"/>
      <c r="GF40" s="782"/>
      <c r="GG40" s="782"/>
      <c r="GH40" s="782"/>
      <c r="GI40" s="782"/>
      <c r="GJ40" s="782"/>
      <c r="GK40" s="782"/>
      <c r="GL40" s="782"/>
      <c r="GM40" s="782"/>
      <c r="GN40" s="782"/>
      <c r="GO40" s="782"/>
      <c r="GP40" s="782"/>
      <c r="GQ40" s="782"/>
      <c r="GR40" s="782"/>
      <c r="GS40" s="782"/>
      <c r="GT40" s="782"/>
      <c r="GU40" s="782"/>
      <c r="GV40" s="782"/>
      <c r="GW40" s="782"/>
      <c r="GX40" s="782"/>
      <c r="GY40" s="782"/>
      <c r="GZ40" s="782"/>
      <c r="HA40" s="782"/>
      <c r="HB40" s="782"/>
      <c r="HC40" s="782"/>
      <c r="HD40" s="782"/>
      <c r="HE40" s="782"/>
      <c r="HF40" s="782"/>
      <c r="HG40" s="782"/>
      <c r="HH40" s="782"/>
      <c r="HI40" s="782"/>
      <c r="HJ40" s="782"/>
      <c r="HK40" s="782"/>
      <c r="HL40" s="782"/>
      <c r="HM40" s="782"/>
      <c r="HN40" s="782"/>
      <c r="HO40" s="782"/>
      <c r="HP40" s="782"/>
      <c r="HQ40" s="782"/>
      <c r="HR40" s="782"/>
      <c r="HS40" s="782"/>
      <c r="HT40" s="782"/>
      <c r="HU40" s="782"/>
      <c r="HV40" s="782"/>
      <c r="HW40" s="782"/>
      <c r="HX40" s="782"/>
      <c r="HY40" s="782"/>
      <c r="HZ40" s="782"/>
      <c r="IA40" s="782"/>
      <c r="IB40" s="782"/>
      <c r="IC40" s="782"/>
      <c r="ID40" s="782"/>
      <c r="IE40" s="782"/>
      <c r="IF40" s="782"/>
      <c r="IG40" s="782"/>
      <c r="IH40" s="782"/>
      <c r="II40" s="782"/>
      <c r="IJ40" s="782"/>
      <c r="IK40" s="782"/>
      <c r="IL40" s="782"/>
      <c r="IM40" s="782"/>
      <c r="IN40" s="782"/>
      <c r="IO40" s="782"/>
      <c r="IP40" s="782"/>
      <c r="IQ40" s="782"/>
      <c r="IR40" s="782"/>
      <c r="IS40" s="782"/>
      <c r="IT40" s="782"/>
      <c r="IU40" s="782"/>
      <c r="IV40" s="782"/>
      <c r="IW40" s="782"/>
      <c r="IX40" s="782"/>
      <c r="IY40" s="782"/>
      <c r="IZ40" s="782"/>
      <c r="JA40" s="782"/>
      <c r="JB40" s="782"/>
      <c r="JC40" s="782"/>
      <c r="JD40" s="782"/>
      <c r="JE40" s="782"/>
      <c r="JF40" s="782"/>
      <c r="JG40" s="782"/>
      <c r="JH40" s="782"/>
      <c r="JI40" s="782"/>
      <c r="JJ40" s="782"/>
      <c r="JK40" s="782"/>
      <c r="JL40" s="782"/>
      <c r="JM40" s="782"/>
      <c r="JN40" s="782"/>
      <c r="JO40" s="782"/>
      <c r="JP40" s="782"/>
      <c r="JQ40" s="782"/>
      <c r="JR40" s="782"/>
      <c r="JS40" s="782"/>
      <c r="JT40" s="782"/>
      <c r="JU40" s="782"/>
      <c r="JV40" s="782"/>
      <c r="JW40" s="782"/>
      <c r="JX40" s="782"/>
      <c r="JY40" s="782"/>
      <c r="JZ40" s="782"/>
      <c r="KA40" s="782"/>
      <c r="KB40" s="782"/>
      <c r="KC40" s="782"/>
      <c r="KD40" s="782"/>
      <c r="KE40" s="782"/>
      <c r="KF40" s="782"/>
      <c r="KG40" s="782"/>
      <c r="KH40" s="782"/>
      <c r="KI40" s="782"/>
      <c r="KJ40" s="782"/>
      <c r="KK40" s="782"/>
      <c r="KL40" s="782"/>
      <c r="KM40" s="782"/>
      <c r="KN40" s="782"/>
      <c r="KO40" s="782"/>
      <c r="KP40" s="782"/>
      <c r="KQ40" s="782"/>
      <c r="KR40" s="782"/>
      <c r="KS40" s="782"/>
      <c r="KT40" s="782"/>
      <c r="KU40" s="782"/>
      <c r="KV40" s="782"/>
      <c r="KW40" s="782"/>
      <c r="KX40" s="782"/>
      <c r="KY40" s="782"/>
      <c r="KZ40" s="782"/>
      <c r="LA40" s="782"/>
      <c r="LB40" s="782"/>
      <c r="LC40" s="782"/>
      <c r="LD40" s="782"/>
      <c r="LE40" s="782"/>
      <c r="LF40" s="782"/>
      <c r="LG40" s="782"/>
      <c r="LH40" s="782"/>
      <c r="LI40" s="782"/>
      <c r="LJ40" s="782"/>
      <c r="LK40" s="782"/>
      <c r="LL40" s="782"/>
      <c r="LM40" s="782"/>
      <c r="LN40" s="782"/>
      <c r="LO40" s="782"/>
      <c r="LP40" s="782"/>
      <c r="LQ40" s="782"/>
      <c r="LR40" s="782"/>
      <c r="LS40" s="782"/>
      <c r="LT40" s="782"/>
      <c r="LU40" s="782"/>
      <c r="LV40" s="782"/>
      <c r="LW40" s="782"/>
      <c r="LX40" s="782"/>
      <c r="LY40" s="782"/>
      <c r="LZ40" s="782"/>
      <c r="MA40" s="782"/>
      <c r="MB40" s="782"/>
      <c r="MC40" s="782"/>
      <c r="MD40" s="782"/>
      <c r="ME40" s="782"/>
      <c r="MF40" s="782"/>
      <c r="MG40" s="782"/>
      <c r="MH40" s="782"/>
      <c r="MI40" s="782"/>
      <c r="MJ40" s="782"/>
      <c r="MK40" s="782"/>
      <c r="ML40" s="782"/>
      <c r="MM40" s="782"/>
      <c r="MN40" s="782"/>
      <c r="MO40" s="782"/>
      <c r="MP40" s="782"/>
      <c r="MQ40" s="782"/>
      <c r="MR40" s="782"/>
      <c r="MS40" s="782"/>
      <c r="MT40" s="782"/>
      <c r="MU40" s="782"/>
      <c r="MV40" s="782"/>
      <c r="MW40" s="782"/>
      <c r="MX40" s="782"/>
      <c r="MY40" s="782"/>
      <c r="MZ40" s="782"/>
      <c r="NA40" s="782"/>
      <c r="NB40" s="782"/>
      <c r="NC40" s="782"/>
      <c r="ND40" s="782"/>
      <c r="NE40" s="782"/>
      <c r="NF40" s="782"/>
      <c r="NG40" s="782"/>
      <c r="NH40" s="782"/>
      <c r="NI40" s="782"/>
      <c r="NJ40" s="782"/>
      <c r="NK40" s="782"/>
      <c r="NL40" s="782"/>
      <c r="NM40" s="782"/>
      <c r="NN40" s="782"/>
      <c r="NO40" s="782"/>
      <c r="NP40" s="782"/>
      <c r="NQ40" s="782"/>
      <c r="NR40" s="782"/>
      <c r="NS40" s="782"/>
      <c r="NT40" s="782"/>
      <c r="NU40" s="782"/>
      <c r="NV40" s="782"/>
      <c r="NW40" s="782"/>
      <c r="NX40" s="782"/>
      <c r="NY40" s="782"/>
      <c r="NZ40" s="782"/>
      <c r="OA40" s="782"/>
      <c r="OB40" s="782"/>
      <c r="OC40" s="782"/>
      <c r="OD40" s="782"/>
      <c r="OE40" s="782"/>
      <c r="OF40" s="782"/>
      <c r="OG40" s="782"/>
      <c r="OH40" s="782"/>
      <c r="OI40" s="782"/>
      <c r="OJ40" s="782"/>
      <c r="OK40" s="782"/>
      <c r="OL40" s="782"/>
      <c r="OM40" s="782"/>
      <c r="ON40" s="782"/>
      <c r="OO40" s="782"/>
      <c r="OP40" s="782"/>
      <c r="OQ40" s="782"/>
      <c r="OR40" s="782"/>
      <c r="OS40" s="782"/>
      <c r="OT40" s="782"/>
      <c r="OU40" s="782"/>
      <c r="OV40" s="782"/>
      <c r="OW40" s="782"/>
      <c r="OX40" s="782"/>
      <c r="OY40" s="782"/>
      <c r="OZ40" s="782"/>
      <c r="PA40" s="782"/>
      <c r="PB40" s="782"/>
      <c r="PC40" s="782"/>
      <c r="PD40" s="782"/>
      <c r="PE40" s="782"/>
      <c r="PF40" s="782"/>
      <c r="PG40" s="782"/>
      <c r="PH40" s="782"/>
      <c r="PI40" s="782"/>
      <c r="PJ40" s="782"/>
      <c r="PK40" s="782"/>
      <c r="PL40" s="782"/>
      <c r="PM40" s="782"/>
      <c r="PN40" s="782"/>
      <c r="PO40" s="782"/>
    </row>
    <row r="41" spans="1:431" s="143" customFormat="1">
      <c r="A41" s="782"/>
      <c r="B41" s="782"/>
      <c r="C41" s="785"/>
      <c r="D41" s="785"/>
      <c r="E41" s="785"/>
      <c r="F41" s="785"/>
      <c r="G41" s="785"/>
      <c r="H41" s="785"/>
      <c r="I41" s="785"/>
      <c r="J41" s="785"/>
      <c r="K41" s="785"/>
      <c r="L41" s="785"/>
      <c r="M41" s="782"/>
      <c r="N41" s="782"/>
      <c r="O41" s="782"/>
      <c r="P41" s="782"/>
      <c r="Q41" s="782"/>
      <c r="R41" s="782"/>
      <c r="S41" s="782"/>
      <c r="T41" s="782"/>
      <c r="U41" s="782"/>
      <c r="V41" s="782"/>
      <c r="W41" s="782"/>
      <c r="X41" s="782"/>
      <c r="Y41" s="782"/>
      <c r="Z41" s="782"/>
      <c r="AA41" s="782"/>
      <c r="AB41" s="782"/>
      <c r="AC41" s="782"/>
      <c r="AD41" s="782"/>
      <c r="AE41" s="782"/>
      <c r="AF41" s="782"/>
      <c r="AG41" s="782"/>
      <c r="AH41" s="782"/>
      <c r="AI41" s="782"/>
      <c r="AJ41" s="782"/>
      <c r="AK41" s="782"/>
      <c r="AL41" s="782"/>
      <c r="AM41" s="782"/>
      <c r="AN41" s="782"/>
      <c r="AO41" s="782"/>
      <c r="AP41" s="782"/>
      <c r="AQ41" s="782"/>
      <c r="AR41" s="782"/>
      <c r="AS41" s="782"/>
      <c r="AT41" s="782"/>
      <c r="AU41" s="782"/>
      <c r="AV41" s="782"/>
      <c r="AW41" s="782"/>
      <c r="AX41" s="782"/>
      <c r="AY41" s="782"/>
      <c r="AZ41" s="782"/>
      <c r="BA41" s="782"/>
      <c r="BB41" s="782"/>
      <c r="BC41" s="782"/>
      <c r="BD41" s="782"/>
      <c r="BE41" s="782"/>
      <c r="BF41" s="782"/>
      <c r="BG41" s="782"/>
      <c r="BH41" s="782"/>
      <c r="BI41" s="782"/>
      <c r="BJ41" s="782"/>
      <c r="BK41" s="782"/>
      <c r="BL41" s="782"/>
      <c r="BM41" s="782"/>
      <c r="BN41" s="782"/>
      <c r="BO41" s="782"/>
      <c r="BP41" s="782"/>
      <c r="BQ41" s="782"/>
      <c r="BR41" s="782"/>
      <c r="BS41" s="782"/>
      <c r="BT41" s="782"/>
      <c r="BU41" s="782"/>
      <c r="BV41" s="782"/>
      <c r="BW41" s="782"/>
      <c r="BX41" s="782"/>
      <c r="BY41" s="782"/>
      <c r="BZ41" s="782"/>
      <c r="CA41" s="782"/>
      <c r="CB41" s="782"/>
      <c r="CC41" s="782"/>
      <c r="CD41" s="782"/>
      <c r="CE41" s="782"/>
      <c r="CF41" s="782"/>
      <c r="CG41" s="782"/>
      <c r="CH41" s="782"/>
      <c r="CI41" s="782"/>
      <c r="CJ41" s="782"/>
      <c r="CK41" s="782"/>
      <c r="CL41" s="782"/>
      <c r="CM41" s="782"/>
      <c r="CN41" s="782"/>
      <c r="CO41" s="782"/>
      <c r="CP41" s="782"/>
      <c r="CQ41" s="782"/>
      <c r="CR41" s="782"/>
      <c r="CS41" s="782"/>
      <c r="CT41" s="782"/>
      <c r="CU41" s="782"/>
      <c r="CV41" s="782"/>
      <c r="CW41" s="782"/>
      <c r="CX41" s="782"/>
      <c r="CY41" s="782"/>
      <c r="CZ41" s="782"/>
      <c r="DA41" s="782"/>
      <c r="DB41" s="782"/>
      <c r="DC41" s="782"/>
      <c r="DD41" s="782"/>
      <c r="DE41" s="782"/>
      <c r="DF41" s="782"/>
      <c r="DG41" s="782"/>
      <c r="DH41" s="782"/>
      <c r="DI41" s="782"/>
      <c r="DJ41" s="782"/>
      <c r="DK41" s="782"/>
      <c r="DL41" s="782"/>
      <c r="DM41" s="782"/>
      <c r="DN41" s="782"/>
      <c r="DO41" s="782"/>
      <c r="DP41" s="782"/>
      <c r="DQ41" s="782"/>
      <c r="DR41" s="782"/>
      <c r="DS41" s="782"/>
      <c r="DT41" s="782"/>
      <c r="DU41" s="782"/>
      <c r="DV41" s="782"/>
      <c r="DW41" s="782"/>
      <c r="DX41" s="782"/>
      <c r="DY41" s="782"/>
      <c r="DZ41" s="782"/>
      <c r="EA41" s="782"/>
      <c r="EB41" s="782"/>
      <c r="EC41" s="782"/>
      <c r="ED41" s="782"/>
      <c r="EE41" s="782"/>
      <c r="EF41" s="782"/>
      <c r="EG41" s="782"/>
      <c r="EH41" s="782"/>
      <c r="EI41" s="782"/>
      <c r="EJ41" s="782"/>
      <c r="EK41" s="782"/>
      <c r="EL41" s="782"/>
      <c r="EM41" s="782"/>
      <c r="EN41" s="782"/>
      <c r="EO41" s="782"/>
      <c r="EP41" s="782"/>
      <c r="EQ41" s="782"/>
      <c r="ER41" s="782"/>
      <c r="ES41" s="782"/>
      <c r="ET41" s="782"/>
      <c r="EU41" s="782"/>
      <c r="EV41" s="782"/>
      <c r="EW41" s="782"/>
      <c r="EX41" s="782"/>
      <c r="EY41" s="782"/>
      <c r="EZ41" s="782"/>
      <c r="FA41" s="782"/>
      <c r="FB41" s="782"/>
      <c r="FC41" s="782"/>
      <c r="FD41" s="782"/>
      <c r="FE41" s="782"/>
      <c r="FF41" s="782"/>
      <c r="FG41" s="782"/>
      <c r="FH41" s="782"/>
      <c r="FI41" s="782"/>
      <c r="FJ41" s="782"/>
      <c r="FK41" s="782"/>
      <c r="FL41" s="782"/>
      <c r="FM41" s="782"/>
      <c r="FN41" s="782"/>
      <c r="FO41" s="782"/>
      <c r="FP41" s="782"/>
      <c r="FQ41" s="782"/>
      <c r="FR41" s="782"/>
      <c r="FS41" s="782"/>
      <c r="FT41" s="782"/>
      <c r="FU41" s="782"/>
      <c r="FV41" s="782"/>
      <c r="FW41" s="782"/>
      <c r="FX41" s="782"/>
      <c r="FY41" s="782"/>
      <c r="FZ41" s="782"/>
      <c r="GA41" s="782"/>
      <c r="GB41" s="782"/>
      <c r="GC41" s="782"/>
      <c r="GD41" s="782"/>
      <c r="GE41" s="782"/>
      <c r="GF41" s="782"/>
      <c r="GG41" s="782"/>
      <c r="GH41" s="782"/>
      <c r="GI41" s="782"/>
      <c r="GJ41" s="782"/>
      <c r="GK41" s="782"/>
      <c r="GL41" s="782"/>
      <c r="GM41" s="782"/>
      <c r="GN41" s="782"/>
      <c r="GO41" s="782"/>
      <c r="GP41" s="782"/>
      <c r="GQ41" s="782"/>
      <c r="GR41" s="782"/>
      <c r="GS41" s="782"/>
      <c r="GT41" s="782"/>
      <c r="GU41" s="782"/>
      <c r="GV41" s="782"/>
      <c r="GW41" s="782"/>
      <c r="GX41" s="782"/>
      <c r="GY41" s="782"/>
      <c r="GZ41" s="782"/>
      <c r="HA41" s="782"/>
      <c r="HB41" s="782"/>
      <c r="HC41" s="782"/>
      <c r="HD41" s="782"/>
      <c r="HE41" s="782"/>
      <c r="HF41" s="782"/>
      <c r="HG41" s="782"/>
      <c r="HH41" s="782"/>
      <c r="HI41" s="782"/>
      <c r="HJ41" s="782"/>
      <c r="HK41" s="782"/>
      <c r="HL41" s="782"/>
      <c r="HM41" s="782"/>
      <c r="HN41" s="782"/>
      <c r="HO41" s="782"/>
      <c r="HP41" s="782"/>
      <c r="HQ41" s="782"/>
      <c r="HR41" s="782"/>
      <c r="HS41" s="782"/>
      <c r="HT41" s="782"/>
      <c r="HU41" s="782"/>
      <c r="HV41" s="782"/>
      <c r="HW41" s="782"/>
      <c r="HX41" s="782"/>
      <c r="HY41" s="782"/>
      <c r="HZ41" s="782"/>
      <c r="IA41" s="782"/>
      <c r="IB41" s="782"/>
      <c r="IC41" s="782"/>
      <c r="ID41" s="782"/>
      <c r="IE41" s="782"/>
      <c r="IF41" s="782"/>
      <c r="IG41" s="782"/>
      <c r="IH41" s="782"/>
      <c r="II41" s="782"/>
      <c r="IJ41" s="782"/>
      <c r="IK41" s="782"/>
      <c r="IL41" s="782"/>
      <c r="IM41" s="782"/>
      <c r="IN41" s="782"/>
      <c r="IO41" s="782"/>
      <c r="IP41" s="782"/>
      <c r="IQ41" s="782"/>
      <c r="IR41" s="782"/>
      <c r="IS41" s="782"/>
      <c r="IT41" s="782"/>
      <c r="IU41" s="782"/>
      <c r="IV41" s="782"/>
      <c r="IW41" s="782"/>
      <c r="IX41" s="782"/>
      <c r="IY41" s="782"/>
      <c r="IZ41" s="782"/>
      <c r="JA41" s="782"/>
      <c r="JB41" s="782"/>
      <c r="JC41" s="782"/>
      <c r="JD41" s="782"/>
      <c r="JE41" s="782"/>
      <c r="JF41" s="782"/>
      <c r="JG41" s="782"/>
      <c r="JH41" s="782"/>
      <c r="JI41" s="782"/>
      <c r="JJ41" s="782"/>
      <c r="JK41" s="782"/>
      <c r="JL41" s="782"/>
      <c r="JM41" s="782"/>
      <c r="JN41" s="782"/>
      <c r="JO41" s="782"/>
      <c r="JP41" s="782"/>
      <c r="JQ41" s="782"/>
      <c r="JR41" s="782"/>
      <c r="JS41" s="782"/>
      <c r="JT41" s="782"/>
      <c r="JU41" s="782"/>
      <c r="JV41" s="782"/>
      <c r="JW41" s="782"/>
      <c r="JX41" s="782"/>
      <c r="JY41" s="782"/>
      <c r="JZ41" s="782"/>
      <c r="KA41" s="782"/>
      <c r="KB41" s="782"/>
      <c r="KC41" s="782"/>
      <c r="KD41" s="782"/>
      <c r="KE41" s="782"/>
      <c r="KF41" s="782"/>
      <c r="KG41" s="782"/>
      <c r="KH41" s="782"/>
      <c r="KI41" s="782"/>
      <c r="KJ41" s="782"/>
      <c r="KK41" s="782"/>
      <c r="KL41" s="782"/>
      <c r="KM41" s="782"/>
      <c r="KN41" s="782"/>
      <c r="KO41" s="782"/>
      <c r="KP41" s="782"/>
      <c r="KQ41" s="782"/>
      <c r="KR41" s="782"/>
      <c r="KS41" s="782"/>
      <c r="KT41" s="782"/>
      <c r="KU41" s="782"/>
      <c r="KV41" s="782"/>
      <c r="KW41" s="782"/>
      <c r="KX41" s="782"/>
      <c r="KY41" s="782"/>
      <c r="KZ41" s="782"/>
      <c r="LA41" s="782"/>
      <c r="LB41" s="782"/>
      <c r="LC41" s="782"/>
      <c r="LD41" s="782"/>
      <c r="LE41" s="782"/>
      <c r="LF41" s="782"/>
      <c r="LG41" s="782"/>
      <c r="LH41" s="782"/>
      <c r="LI41" s="782"/>
      <c r="LJ41" s="782"/>
      <c r="LK41" s="782"/>
      <c r="LL41" s="782"/>
      <c r="LM41" s="782"/>
      <c r="LN41" s="782"/>
      <c r="LO41" s="782"/>
      <c r="LP41" s="782"/>
      <c r="LQ41" s="782"/>
      <c r="LR41" s="782"/>
      <c r="LS41" s="782"/>
      <c r="LT41" s="782"/>
      <c r="LU41" s="782"/>
      <c r="LV41" s="782"/>
      <c r="LW41" s="782"/>
      <c r="LX41" s="782"/>
      <c r="LY41" s="782"/>
      <c r="LZ41" s="782"/>
      <c r="MA41" s="782"/>
      <c r="MB41" s="782"/>
      <c r="MC41" s="782"/>
      <c r="MD41" s="782"/>
      <c r="ME41" s="782"/>
      <c r="MF41" s="782"/>
      <c r="MG41" s="782"/>
      <c r="MH41" s="782"/>
      <c r="MI41" s="782"/>
      <c r="MJ41" s="782"/>
      <c r="MK41" s="782"/>
      <c r="ML41" s="782"/>
      <c r="MM41" s="782"/>
      <c r="MN41" s="782"/>
      <c r="MO41" s="782"/>
      <c r="MP41" s="782"/>
      <c r="MQ41" s="782"/>
      <c r="MR41" s="782"/>
      <c r="MS41" s="782"/>
      <c r="MT41" s="782"/>
      <c r="MU41" s="782"/>
      <c r="MV41" s="782"/>
      <c r="MW41" s="782"/>
      <c r="MX41" s="782"/>
      <c r="MY41" s="782"/>
      <c r="MZ41" s="782"/>
      <c r="NA41" s="782"/>
      <c r="NB41" s="782"/>
      <c r="NC41" s="782"/>
      <c r="ND41" s="782"/>
      <c r="NE41" s="782"/>
      <c r="NF41" s="782"/>
      <c r="NG41" s="782"/>
      <c r="NH41" s="782"/>
      <c r="NI41" s="782"/>
      <c r="NJ41" s="782"/>
      <c r="NK41" s="782"/>
      <c r="NL41" s="782"/>
      <c r="NM41" s="782"/>
      <c r="NN41" s="782"/>
      <c r="NO41" s="782"/>
      <c r="NP41" s="782"/>
      <c r="NQ41" s="782"/>
      <c r="NR41" s="782"/>
      <c r="NS41" s="782"/>
      <c r="NT41" s="782"/>
      <c r="NU41" s="782"/>
      <c r="NV41" s="782"/>
      <c r="NW41" s="782"/>
      <c r="NX41" s="782"/>
      <c r="NY41" s="782"/>
      <c r="NZ41" s="782"/>
      <c r="OA41" s="782"/>
      <c r="OB41" s="782"/>
      <c r="OC41" s="782"/>
      <c r="OD41" s="782"/>
      <c r="OE41" s="782"/>
      <c r="OF41" s="782"/>
      <c r="OG41" s="782"/>
      <c r="OH41" s="782"/>
      <c r="OI41" s="782"/>
      <c r="OJ41" s="782"/>
      <c r="OK41" s="782"/>
      <c r="OL41" s="782"/>
      <c r="OM41" s="782"/>
      <c r="ON41" s="782"/>
      <c r="OO41" s="782"/>
      <c r="OP41" s="782"/>
      <c r="OQ41" s="782"/>
      <c r="OR41" s="782"/>
      <c r="OS41" s="782"/>
      <c r="OT41" s="782"/>
      <c r="OU41" s="782"/>
      <c r="OV41" s="782"/>
      <c r="OW41" s="782"/>
      <c r="OX41" s="782"/>
      <c r="OY41" s="782"/>
      <c r="OZ41" s="782"/>
      <c r="PA41" s="782"/>
      <c r="PB41" s="782"/>
      <c r="PC41" s="782"/>
      <c r="PD41" s="782"/>
      <c r="PE41" s="782"/>
      <c r="PF41" s="782"/>
      <c r="PG41" s="782"/>
      <c r="PH41" s="782"/>
      <c r="PI41" s="782"/>
      <c r="PJ41" s="782"/>
      <c r="PK41" s="782"/>
      <c r="PL41" s="782"/>
      <c r="PM41" s="782"/>
      <c r="PN41" s="782"/>
      <c r="PO41" s="782"/>
    </row>
    <row r="42" spans="1:431" s="143" customFormat="1">
      <c r="A42" s="782"/>
      <c r="B42" s="782"/>
      <c r="C42" s="785"/>
      <c r="D42" s="785"/>
      <c r="E42" s="785"/>
      <c r="F42" s="785"/>
      <c r="G42" s="785"/>
      <c r="H42" s="785"/>
      <c r="I42" s="785"/>
      <c r="J42" s="785"/>
      <c r="K42" s="785"/>
      <c r="L42" s="785"/>
      <c r="M42" s="782"/>
      <c r="N42" s="782"/>
      <c r="O42" s="782"/>
      <c r="P42" s="782"/>
      <c r="Q42" s="782"/>
      <c r="R42" s="782"/>
      <c r="S42" s="782"/>
      <c r="T42" s="782"/>
      <c r="U42" s="782"/>
      <c r="V42" s="782"/>
      <c r="W42" s="782"/>
      <c r="X42" s="782"/>
      <c r="Y42" s="782"/>
      <c r="Z42" s="782"/>
      <c r="AA42" s="782"/>
      <c r="AB42" s="782"/>
      <c r="AC42" s="782"/>
      <c r="AD42" s="782"/>
      <c r="AE42" s="782"/>
      <c r="AF42" s="782"/>
      <c r="AG42" s="782"/>
      <c r="AH42" s="782"/>
      <c r="AI42" s="782"/>
      <c r="AJ42" s="782"/>
      <c r="AK42" s="782"/>
      <c r="AL42" s="782"/>
      <c r="AM42" s="782"/>
      <c r="AN42" s="782"/>
      <c r="AO42" s="782"/>
      <c r="AP42" s="782"/>
      <c r="AQ42" s="782"/>
      <c r="AR42" s="782"/>
      <c r="AS42" s="782"/>
      <c r="AT42" s="782"/>
      <c r="AU42" s="782"/>
      <c r="AV42" s="782"/>
      <c r="AW42" s="782"/>
      <c r="AX42" s="782"/>
      <c r="AY42" s="782"/>
      <c r="AZ42" s="782"/>
      <c r="BA42" s="782"/>
      <c r="BB42" s="782"/>
      <c r="BC42" s="782"/>
      <c r="BD42" s="782"/>
      <c r="BE42" s="782"/>
      <c r="BF42" s="782"/>
      <c r="BG42" s="782"/>
      <c r="BH42" s="782"/>
      <c r="BI42" s="782"/>
      <c r="BJ42" s="782"/>
      <c r="BK42" s="782"/>
      <c r="BL42" s="782"/>
      <c r="BM42" s="782"/>
      <c r="BN42" s="782"/>
      <c r="BO42" s="782"/>
      <c r="BP42" s="782"/>
      <c r="BQ42" s="782"/>
      <c r="BR42" s="782"/>
      <c r="BS42" s="782"/>
      <c r="BT42" s="782"/>
      <c r="BU42" s="782"/>
      <c r="BV42" s="782"/>
      <c r="BW42" s="782"/>
      <c r="BX42" s="782"/>
      <c r="BY42" s="782"/>
      <c r="BZ42" s="782"/>
      <c r="CA42" s="782"/>
      <c r="CB42" s="782"/>
      <c r="CC42" s="782"/>
      <c r="CD42" s="782"/>
      <c r="CE42" s="782"/>
      <c r="CF42" s="782"/>
      <c r="CG42" s="782"/>
      <c r="CH42" s="782"/>
      <c r="CI42" s="782"/>
      <c r="CJ42" s="782"/>
      <c r="CK42" s="782"/>
      <c r="CL42" s="782"/>
      <c r="CM42" s="782"/>
      <c r="CN42" s="782"/>
      <c r="CO42" s="782"/>
      <c r="CP42" s="782"/>
      <c r="CQ42" s="782"/>
      <c r="CR42" s="782"/>
      <c r="CS42" s="782"/>
      <c r="CT42" s="782"/>
      <c r="CU42" s="782"/>
      <c r="CV42" s="782"/>
      <c r="CW42" s="782"/>
      <c r="CX42" s="782"/>
      <c r="CY42" s="782"/>
      <c r="CZ42" s="782"/>
      <c r="DA42" s="782"/>
      <c r="DB42" s="782"/>
      <c r="DC42" s="782"/>
      <c r="DD42" s="782"/>
      <c r="DE42" s="782"/>
      <c r="DF42" s="782"/>
      <c r="DG42" s="782"/>
      <c r="DH42" s="782"/>
      <c r="DI42" s="782"/>
      <c r="DJ42" s="782"/>
      <c r="DK42" s="782"/>
      <c r="DL42" s="782"/>
      <c r="DM42" s="782"/>
      <c r="DN42" s="782"/>
      <c r="DO42" s="782"/>
      <c r="DP42" s="782"/>
      <c r="DQ42" s="782"/>
      <c r="DR42" s="782"/>
      <c r="DS42" s="782"/>
      <c r="DT42" s="782"/>
      <c r="DU42" s="782"/>
      <c r="DV42" s="782"/>
      <c r="DW42" s="782"/>
      <c r="DX42" s="782"/>
      <c r="DY42" s="782"/>
      <c r="DZ42" s="782"/>
      <c r="EA42" s="782"/>
      <c r="EB42" s="782"/>
      <c r="EC42" s="782"/>
      <c r="ED42" s="782"/>
      <c r="EE42" s="782"/>
      <c r="EF42" s="782"/>
      <c r="EG42" s="782"/>
      <c r="EH42" s="782"/>
      <c r="EI42" s="782"/>
      <c r="EJ42" s="782"/>
      <c r="EK42" s="782"/>
      <c r="EL42" s="782"/>
      <c r="EM42" s="782"/>
      <c r="EN42" s="782"/>
      <c r="EO42" s="782"/>
      <c r="EP42" s="782"/>
      <c r="EQ42" s="782"/>
      <c r="ER42" s="782"/>
      <c r="ES42" s="782"/>
      <c r="ET42" s="782"/>
      <c r="EU42" s="782"/>
      <c r="EV42" s="782"/>
      <c r="EW42" s="782"/>
      <c r="EX42" s="782"/>
      <c r="EY42" s="782"/>
      <c r="EZ42" s="782"/>
      <c r="FA42" s="782"/>
      <c r="FB42" s="782"/>
      <c r="FC42" s="782"/>
      <c r="FD42" s="782"/>
      <c r="FE42" s="782"/>
      <c r="FF42" s="782"/>
      <c r="FG42" s="782"/>
      <c r="FH42" s="782"/>
      <c r="FI42" s="782"/>
      <c r="FJ42" s="782"/>
      <c r="FK42" s="782"/>
      <c r="FL42" s="782"/>
      <c r="FM42" s="782"/>
      <c r="FN42" s="782"/>
      <c r="FO42" s="782"/>
      <c r="FP42" s="782"/>
      <c r="FQ42" s="782"/>
      <c r="FR42" s="782"/>
      <c r="FS42" s="782"/>
      <c r="FT42" s="782"/>
      <c r="FU42" s="782"/>
      <c r="FV42" s="782"/>
      <c r="FW42" s="782"/>
      <c r="FX42" s="782"/>
      <c r="FY42" s="782"/>
      <c r="FZ42" s="782"/>
      <c r="GA42" s="782"/>
      <c r="GB42" s="782"/>
      <c r="GC42" s="782"/>
      <c r="GD42" s="782"/>
      <c r="GE42" s="782"/>
      <c r="GF42" s="782"/>
      <c r="GG42" s="782"/>
      <c r="GH42" s="782"/>
      <c r="GI42" s="782"/>
      <c r="GJ42" s="782"/>
      <c r="GK42" s="782"/>
      <c r="GL42" s="782"/>
      <c r="GM42" s="782"/>
      <c r="GN42" s="782"/>
      <c r="GO42" s="782"/>
      <c r="GP42" s="782"/>
      <c r="GQ42" s="782"/>
      <c r="GR42" s="782"/>
      <c r="GS42" s="782"/>
      <c r="GT42" s="782"/>
      <c r="GU42" s="782"/>
      <c r="GV42" s="782"/>
      <c r="GW42" s="782"/>
      <c r="GX42" s="782"/>
      <c r="GY42" s="782"/>
      <c r="GZ42" s="782"/>
      <c r="HA42" s="782"/>
      <c r="HB42" s="782"/>
      <c r="HC42" s="782"/>
      <c r="HD42" s="782"/>
      <c r="HE42" s="782"/>
      <c r="HF42" s="782"/>
      <c r="HG42" s="782"/>
      <c r="HH42" s="782"/>
      <c r="HI42" s="782"/>
      <c r="HJ42" s="782"/>
      <c r="HK42" s="782"/>
      <c r="HL42" s="782"/>
      <c r="HM42" s="782"/>
      <c r="HN42" s="782"/>
      <c r="HO42" s="782"/>
      <c r="HP42" s="782"/>
      <c r="HQ42" s="782"/>
      <c r="HR42" s="782"/>
      <c r="HS42" s="782"/>
      <c r="HT42" s="782"/>
      <c r="HU42" s="782"/>
      <c r="HV42" s="782"/>
      <c r="HW42" s="782"/>
      <c r="HX42" s="782"/>
      <c r="HY42" s="782"/>
      <c r="HZ42" s="782"/>
      <c r="IA42" s="782"/>
      <c r="IB42" s="782"/>
      <c r="IC42" s="782"/>
      <c r="ID42" s="782"/>
      <c r="IE42" s="782"/>
      <c r="IF42" s="782"/>
      <c r="IG42" s="782"/>
      <c r="IH42" s="782"/>
      <c r="II42" s="782"/>
      <c r="IJ42" s="782"/>
      <c r="IK42" s="782"/>
      <c r="IL42" s="782"/>
      <c r="IM42" s="782"/>
      <c r="IN42" s="782"/>
      <c r="IO42" s="782"/>
      <c r="IP42" s="782"/>
      <c r="IQ42" s="782"/>
      <c r="IR42" s="782"/>
      <c r="IS42" s="782"/>
      <c r="IT42" s="782"/>
      <c r="IU42" s="782"/>
      <c r="IV42" s="782"/>
      <c r="IW42" s="782"/>
      <c r="IX42" s="782"/>
      <c r="IY42" s="782"/>
      <c r="IZ42" s="782"/>
      <c r="JA42" s="782"/>
      <c r="JB42" s="782"/>
      <c r="JC42" s="782"/>
      <c r="JD42" s="782"/>
      <c r="JE42" s="782"/>
      <c r="JF42" s="782"/>
      <c r="JG42" s="782"/>
      <c r="JH42" s="782"/>
      <c r="JI42" s="782"/>
      <c r="JJ42" s="782"/>
      <c r="JK42" s="782"/>
      <c r="JL42" s="782"/>
      <c r="JM42" s="782"/>
      <c r="JN42" s="782"/>
      <c r="JO42" s="782"/>
      <c r="JP42" s="782"/>
      <c r="JQ42" s="782"/>
      <c r="JR42" s="782"/>
      <c r="JS42" s="782"/>
      <c r="JT42" s="782"/>
      <c r="JU42" s="782"/>
      <c r="JV42" s="782"/>
      <c r="JW42" s="782"/>
      <c r="JX42" s="782"/>
      <c r="JY42" s="782"/>
      <c r="JZ42" s="782"/>
      <c r="KA42" s="782"/>
      <c r="KB42" s="782"/>
      <c r="KC42" s="782"/>
      <c r="KD42" s="782"/>
      <c r="KE42" s="782"/>
      <c r="KF42" s="782"/>
      <c r="KG42" s="782"/>
      <c r="KH42" s="782"/>
      <c r="KI42" s="782"/>
      <c r="KJ42" s="782"/>
      <c r="KK42" s="782"/>
      <c r="KL42" s="782"/>
      <c r="KM42" s="782"/>
      <c r="KN42" s="782"/>
      <c r="KO42" s="782"/>
      <c r="KP42" s="782"/>
      <c r="KQ42" s="782"/>
      <c r="KR42" s="782"/>
      <c r="KS42" s="782"/>
      <c r="KT42" s="782"/>
      <c r="KU42" s="782"/>
      <c r="KV42" s="782"/>
      <c r="KW42" s="782"/>
      <c r="KX42" s="782"/>
      <c r="KY42" s="782"/>
      <c r="KZ42" s="782"/>
      <c r="LA42" s="782"/>
      <c r="LB42" s="782"/>
      <c r="LC42" s="782"/>
      <c r="LD42" s="782"/>
      <c r="LE42" s="782"/>
      <c r="LF42" s="782"/>
      <c r="LG42" s="782"/>
      <c r="LH42" s="782"/>
      <c r="LI42" s="782"/>
      <c r="LJ42" s="782"/>
      <c r="LK42" s="782"/>
      <c r="LL42" s="782"/>
      <c r="LM42" s="782"/>
      <c r="LN42" s="782"/>
      <c r="LO42" s="782"/>
      <c r="LP42" s="782"/>
      <c r="LQ42" s="782"/>
      <c r="LR42" s="782"/>
      <c r="LS42" s="782"/>
      <c r="LT42" s="782"/>
      <c r="LU42" s="782"/>
      <c r="LV42" s="782"/>
      <c r="LW42" s="782"/>
      <c r="LX42" s="782"/>
      <c r="LY42" s="782"/>
      <c r="LZ42" s="782"/>
      <c r="MA42" s="782"/>
      <c r="MB42" s="782"/>
      <c r="MC42" s="782"/>
      <c r="MD42" s="782"/>
      <c r="ME42" s="782"/>
      <c r="MF42" s="782"/>
      <c r="MG42" s="782"/>
      <c r="MH42" s="782"/>
      <c r="MI42" s="782"/>
      <c r="MJ42" s="782"/>
      <c r="MK42" s="782"/>
      <c r="ML42" s="782"/>
      <c r="MM42" s="782"/>
      <c r="MN42" s="782"/>
      <c r="MO42" s="782"/>
      <c r="MP42" s="782"/>
      <c r="MQ42" s="782"/>
      <c r="MR42" s="782"/>
      <c r="MS42" s="782"/>
      <c r="MT42" s="782"/>
      <c r="MU42" s="782"/>
      <c r="MV42" s="782"/>
      <c r="MW42" s="782"/>
      <c r="MX42" s="782"/>
      <c r="MY42" s="782"/>
      <c r="MZ42" s="782"/>
      <c r="NA42" s="782"/>
      <c r="NB42" s="782"/>
      <c r="NC42" s="782"/>
      <c r="ND42" s="782"/>
      <c r="NE42" s="782"/>
      <c r="NF42" s="782"/>
      <c r="NG42" s="782"/>
      <c r="NH42" s="782"/>
      <c r="NI42" s="782"/>
      <c r="NJ42" s="782"/>
      <c r="NK42" s="782"/>
      <c r="NL42" s="782"/>
      <c r="NM42" s="782"/>
      <c r="NN42" s="782"/>
      <c r="NO42" s="782"/>
      <c r="NP42" s="782"/>
      <c r="NQ42" s="782"/>
      <c r="NR42" s="782"/>
      <c r="NS42" s="782"/>
      <c r="NT42" s="782"/>
      <c r="NU42" s="782"/>
      <c r="NV42" s="782"/>
      <c r="NW42" s="782"/>
      <c r="NX42" s="782"/>
      <c r="NY42" s="782"/>
      <c r="NZ42" s="782"/>
      <c r="OA42" s="782"/>
      <c r="OB42" s="782"/>
      <c r="OC42" s="782"/>
      <c r="OD42" s="782"/>
      <c r="OE42" s="782"/>
      <c r="OF42" s="782"/>
      <c r="OG42" s="782"/>
      <c r="OH42" s="782"/>
      <c r="OI42" s="782"/>
      <c r="OJ42" s="782"/>
      <c r="OK42" s="782"/>
      <c r="OL42" s="782"/>
      <c r="OM42" s="782"/>
      <c r="ON42" s="782"/>
      <c r="OO42" s="782"/>
      <c r="OP42" s="782"/>
      <c r="OQ42" s="782"/>
      <c r="OR42" s="782"/>
      <c r="OS42" s="782"/>
      <c r="OT42" s="782"/>
      <c r="OU42" s="782"/>
      <c r="OV42" s="782"/>
      <c r="OW42" s="782"/>
      <c r="OX42" s="782"/>
      <c r="OY42" s="782"/>
      <c r="OZ42" s="782"/>
      <c r="PA42" s="782"/>
      <c r="PB42" s="782"/>
      <c r="PC42" s="782"/>
      <c r="PD42" s="782"/>
      <c r="PE42" s="782"/>
      <c r="PF42" s="782"/>
      <c r="PG42" s="782"/>
      <c r="PH42" s="782"/>
      <c r="PI42" s="782"/>
      <c r="PJ42" s="782"/>
      <c r="PK42" s="782"/>
      <c r="PL42" s="782"/>
      <c r="PM42" s="782"/>
      <c r="PN42" s="782"/>
      <c r="PO42" s="782"/>
    </row>
    <row r="43" spans="1:431" s="143" customFormat="1">
      <c r="A43" s="782"/>
      <c r="B43" s="782"/>
      <c r="C43" s="785"/>
      <c r="D43" s="785"/>
      <c r="E43" s="785"/>
      <c r="F43" s="785"/>
      <c r="G43" s="785"/>
      <c r="H43" s="785"/>
      <c r="I43" s="785"/>
      <c r="J43" s="785"/>
      <c r="K43" s="785"/>
      <c r="L43" s="785"/>
      <c r="M43" s="782"/>
      <c r="N43" s="782"/>
      <c r="O43" s="782"/>
      <c r="P43" s="782"/>
      <c r="Q43" s="782"/>
      <c r="R43" s="782"/>
      <c r="S43" s="782"/>
      <c r="T43" s="782"/>
      <c r="U43" s="782"/>
      <c r="V43" s="782"/>
      <c r="W43" s="782"/>
      <c r="X43" s="782"/>
      <c r="Y43" s="782"/>
      <c r="Z43" s="782"/>
      <c r="AA43" s="782"/>
      <c r="AB43" s="782"/>
      <c r="AC43" s="782"/>
      <c r="AD43" s="782"/>
      <c r="AE43" s="782"/>
      <c r="AF43" s="782"/>
      <c r="AG43" s="782"/>
      <c r="AH43" s="782"/>
      <c r="AI43" s="782"/>
      <c r="AJ43" s="782"/>
      <c r="AK43" s="782"/>
      <c r="AL43" s="782"/>
      <c r="AM43" s="782"/>
      <c r="AN43" s="782"/>
      <c r="AO43" s="782"/>
      <c r="AP43" s="782"/>
      <c r="AQ43" s="782"/>
      <c r="AR43" s="782"/>
      <c r="AS43" s="782"/>
      <c r="AT43" s="782"/>
      <c r="AU43" s="782"/>
      <c r="AV43" s="782"/>
      <c r="AW43" s="782"/>
      <c r="AX43" s="782"/>
      <c r="AY43" s="782"/>
      <c r="AZ43" s="782"/>
      <c r="BA43" s="782"/>
      <c r="BB43" s="782"/>
      <c r="BC43" s="782"/>
      <c r="BD43" s="782"/>
      <c r="BE43" s="782"/>
      <c r="BF43" s="782"/>
      <c r="BG43" s="782"/>
      <c r="BH43" s="782"/>
      <c r="BI43" s="782"/>
      <c r="BJ43" s="782"/>
      <c r="BK43" s="782"/>
      <c r="BL43" s="782"/>
      <c r="BM43" s="782"/>
      <c r="BN43" s="782"/>
      <c r="BO43" s="782"/>
      <c r="BP43" s="782"/>
      <c r="BQ43" s="782"/>
      <c r="BR43" s="782"/>
      <c r="BS43" s="782"/>
      <c r="BT43" s="782"/>
      <c r="BU43" s="782"/>
      <c r="BV43" s="782"/>
      <c r="BW43" s="782"/>
      <c r="BX43" s="782"/>
      <c r="BY43" s="782"/>
      <c r="BZ43" s="782"/>
      <c r="CA43" s="782"/>
      <c r="CB43" s="782"/>
      <c r="CC43" s="782"/>
      <c r="CD43" s="782"/>
      <c r="CE43" s="782"/>
      <c r="CF43" s="782"/>
      <c r="CG43" s="782"/>
      <c r="CH43" s="782"/>
      <c r="CI43" s="782"/>
      <c r="CJ43" s="782"/>
      <c r="CK43" s="782"/>
      <c r="CL43" s="782"/>
      <c r="CM43" s="782"/>
      <c r="CN43" s="782"/>
      <c r="CO43" s="782"/>
      <c r="CP43" s="782"/>
      <c r="CQ43" s="782"/>
      <c r="CR43" s="782"/>
      <c r="CS43" s="782"/>
      <c r="CT43" s="782"/>
      <c r="CU43" s="782"/>
      <c r="CV43" s="782"/>
      <c r="CW43" s="782"/>
      <c r="CX43" s="782"/>
      <c r="CY43" s="782"/>
      <c r="CZ43" s="782"/>
      <c r="DA43" s="782"/>
      <c r="DB43" s="782"/>
      <c r="DC43" s="782"/>
      <c r="DD43" s="782"/>
      <c r="DE43" s="782"/>
      <c r="DF43" s="782"/>
      <c r="DG43" s="782"/>
      <c r="DH43" s="782"/>
      <c r="DI43" s="782"/>
      <c r="DJ43" s="782"/>
      <c r="DK43" s="782"/>
      <c r="DL43" s="782"/>
      <c r="DM43" s="782"/>
      <c r="DN43" s="782"/>
      <c r="DO43" s="782"/>
      <c r="DP43" s="782"/>
      <c r="DQ43" s="782"/>
      <c r="DR43" s="782"/>
      <c r="DS43" s="782"/>
      <c r="DT43" s="782"/>
      <c r="DU43" s="782"/>
      <c r="DV43" s="782"/>
      <c r="DW43" s="782"/>
      <c r="DX43" s="782"/>
      <c r="DY43" s="782"/>
      <c r="DZ43" s="782"/>
      <c r="EA43" s="782"/>
      <c r="EB43" s="782"/>
      <c r="EC43" s="782"/>
      <c r="ED43" s="782"/>
      <c r="EE43" s="782"/>
      <c r="EF43" s="782"/>
      <c r="EG43" s="782"/>
      <c r="EH43" s="782"/>
      <c r="EI43" s="782"/>
      <c r="EJ43" s="782"/>
      <c r="EK43" s="782"/>
      <c r="EL43" s="782"/>
      <c r="EM43" s="782"/>
      <c r="EN43" s="782"/>
      <c r="EO43" s="782"/>
      <c r="EP43" s="782"/>
      <c r="EQ43" s="782"/>
      <c r="ER43" s="782"/>
      <c r="ES43" s="782"/>
      <c r="ET43" s="782"/>
      <c r="EU43" s="782"/>
      <c r="EV43" s="782"/>
      <c r="EW43" s="782"/>
      <c r="EX43" s="782"/>
      <c r="EY43" s="782"/>
      <c r="EZ43" s="782"/>
      <c r="FA43" s="782"/>
      <c r="FB43" s="782"/>
      <c r="FC43" s="782"/>
      <c r="FD43" s="782"/>
      <c r="FE43" s="782"/>
      <c r="FF43" s="782"/>
      <c r="FG43" s="782"/>
      <c r="FH43" s="782"/>
      <c r="FI43" s="782"/>
      <c r="FJ43" s="782"/>
      <c r="FK43" s="782"/>
      <c r="FL43" s="782"/>
      <c r="FM43" s="782"/>
      <c r="FN43" s="782"/>
      <c r="FO43" s="782"/>
      <c r="FP43" s="782"/>
      <c r="FQ43" s="782"/>
      <c r="FR43" s="782"/>
      <c r="FS43" s="782"/>
      <c r="FT43" s="782"/>
      <c r="FU43" s="782"/>
      <c r="FV43" s="782"/>
      <c r="FW43" s="782"/>
      <c r="FX43" s="782"/>
      <c r="FY43" s="782"/>
      <c r="FZ43" s="782"/>
      <c r="GA43" s="782"/>
      <c r="GB43" s="782"/>
      <c r="GC43" s="782"/>
      <c r="GD43" s="782"/>
      <c r="GE43" s="782"/>
      <c r="GF43" s="782"/>
      <c r="GG43" s="782"/>
      <c r="GH43" s="782"/>
      <c r="GI43" s="782"/>
      <c r="GJ43" s="782"/>
      <c r="GK43" s="782"/>
      <c r="GL43" s="782"/>
      <c r="GM43" s="782"/>
      <c r="GN43" s="782"/>
      <c r="GO43" s="782"/>
      <c r="GP43" s="782"/>
      <c r="GQ43" s="782"/>
      <c r="GR43" s="782"/>
      <c r="GS43" s="782"/>
      <c r="GT43" s="782"/>
      <c r="GU43" s="782"/>
      <c r="GV43" s="782"/>
      <c r="GW43" s="782"/>
      <c r="GX43" s="782"/>
      <c r="GY43" s="782"/>
      <c r="GZ43" s="782"/>
      <c r="HA43" s="782"/>
      <c r="HB43" s="782"/>
      <c r="HC43" s="782"/>
      <c r="HD43" s="782"/>
      <c r="HE43" s="782"/>
      <c r="HF43" s="782"/>
      <c r="HG43" s="782"/>
      <c r="HH43" s="782"/>
      <c r="HI43" s="782"/>
      <c r="HJ43" s="782"/>
      <c r="HK43" s="782"/>
      <c r="HL43" s="782"/>
      <c r="HM43" s="782"/>
      <c r="HN43" s="782"/>
      <c r="HO43" s="782"/>
      <c r="HP43" s="782"/>
      <c r="HQ43" s="782"/>
      <c r="HR43" s="782"/>
      <c r="HS43" s="782"/>
      <c r="HT43" s="782"/>
      <c r="HU43" s="782"/>
      <c r="HV43" s="782"/>
      <c r="HW43" s="782"/>
      <c r="HX43" s="782"/>
      <c r="HY43" s="782"/>
      <c r="HZ43" s="782"/>
      <c r="IA43" s="782"/>
      <c r="IB43" s="782"/>
      <c r="IC43" s="782"/>
      <c r="ID43" s="782"/>
      <c r="IE43" s="782"/>
      <c r="IF43" s="782"/>
      <c r="IG43" s="782"/>
      <c r="IH43" s="782"/>
      <c r="II43" s="782"/>
      <c r="IJ43" s="782"/>
      <c r="IK43" s="782"/>
      <c r="IL43" s="782"/>
      <c r="IM43" s="782"/>
      <c r="IN43" s="782"/>
      <c r="IO43" s="782"/>
      <c r="IP43" s="782"/>
      <c r="IQ43" s="782"/>
      <c r="IR43" s="782"/>
      <c r="IS43" s="782"/>
      <c r="IT43" s="782"/>
      <c r="IU43" s="782"/>
      <c r="IV43" s="782"/>
      <c r="IW43" s="782"/>
      <c r="IX43" s="782"/>
      <c r="IY43" s="782"/>
      <c r="IZ43" s="782"/>
      <c r="JA43" s="782"/>
      <c r="JB43" s="782"/>
      <c r="JC43" s="782"/>
      <c r="JD43" s="782"/>
      <c r="JE43" s="782"/>
      <c r="JF43" s="782"/>
      <c r="JG43" s="782"/>
      <c r="JH43" s="782"/>
      <c r="JI43" s="782"/>
      <c r="JJ43" s="782"/>
      <c r="JK43" s="782"/>
      <c r="JL43" s="782"/>
      <c r="JM43" s="782"/>
      <c r="JN43" s="782"/>
      <c r="JO43" s="782"/>
      <c r="JP43" s="782"/>
      <c r="JQ43" s="782"/>
      <c r="JR43" s="782"/>
      <c r="JS43" s="782"/>
      <c r="JT43" s="782"/>
      <c r="JU43" s="782"/>
      <c r="JV43" s="782"/>
      <c r="JW43" s="782"/>
      <c r="JX43" s="782"/>
      <c r="JY43" s="782"/>
      <c r="JZ43" s="782"/>
      <c r="KA43" s="782"/>
      <c r="KB43" s="782"/>
      <c r="KC43" s="782"/>
      <c r="KD43" s="782"/>
      <c r="KE43" s="782"/>
      <c r="KF43" s="782"/>
      <c r="KG43" s="782"/>
      <c r="KH43" s="782"/>
      <c r="KI43" s="782"/>
      <c r="KJ43" s="782"/>
      <c r="KK43" s="782"/>
      <c r="KL43" s="782"/>
      <c r="KM43" s="782"/>
      <c r="KN43" s="782"/>
      <c r="KO43" s="782"/>
      <c r="KP43" s="782"/>
      <c r="KQ43" s="782"/>
      <c r="KR43" s="782"/>
      <c r="KS43" s="782"/>
      <c r="KT43" s="782"/>
      <c r="KU43" s="782"/>
      <c r="KV43" s="782"/>
      <c r="KW43" s="782"/>
      <c r="KX43" s="782"/>
      <c r="KY43" s="782"/>
      <c r="KZ43" s="782"/>
      <c r="LA43" s="782"/>
      <c r="LB43" s="782"/>
      <c r="LC43" s="782"/>
      <c r="LD43" s="782"/>
      <c r="LE43" s="782"/>
      <c r="LF43" s="782"/>
      <c r="LG43" s="782"/>
      <c r="LH43" s="782"/>
      <c r="LI43" s="782"/>
      <c r="LJ43" s="782"/>
      <c r="LK43" s="782"/>
      <c r="LL43" s="782"/>
      <c r="LM43" s="782"/>
      <c r="LN43" s="782"/>
      <c r="LO43" s="782"/>
      <c r="LP43" s="782"/>
      <c r="LQ43" s="782"/>
      <c r="LR43" s="782"/>
      <c r="LS43" s="782"/>
      <c r="LT43" s="782"/>
      <c r="LU43" s="782"/>
      <c r="LV43" s="782"/>
      <c r="LW43" s="782"/>
      <c r="LX43" s="782"/>
      <c r="LY43" s="782"/>
      <c r="LZ43" s="782"/>
      <c r="MA43" s="782"/>
      <c r="MB43" s="782"/>
      <c r="MC43" s="782"/>
      <c r="MD43" s="782"/>
      <c r="ME43" s="782"/>
      <c r="MF43" s="782"/>
      <c r="MG43" s="782"/>
      <c r="MH43" s="782"/>
      <c r="MI43" s="782"/>
      <c r="MJ43" s="782"/>
      <c r="MK43" s="782"/>
      <c r="ML43" s="782"/>
      <c r="MM43" s="782"/>
      <c r="MN43" s="782"/>
      <c r="MO43" s="782"/>
      <c r="MP43" s="782"/>
      <c r="MQ43" s="782"/>
      <c r="MR43" s="782"/>
      <c r="MS43" s="782"/>
      <c r="MT43" s="782"/>
      <c r="MU43" s="782"/>
      <c r="MV43" s="782"/>
      <c r="MW43" s="782"/>
      <c r="MX43" s="782"/>
      <c r="MY43" s="782"/>
      <c r="MZ43" s="782"/>
      <c r="NA43" s="782"/>
      <c r="NB43" s="782"/>
      <c r="NC43" s="782"/>
      <c r="ND43" s="782"/>
      <c r="NE43" s="782"/>
      <c r="NF43" s="782"/>
      <c r="NG43" s="782"/>
      <c r="NH43" s="782"/>
      <c r="NI43" s="782"/>
      <c r="NJ43" s="782"/>
      <c r="NK43" s="782"/>
      <c r="NL43" s="782"/>
      <c r="NM43" s="782"/>
      <c r="NN43" s="782"/>
      <c r="NO43" s="782"/>
      <c r="NP43" s="782"/>
      <c r="NQ43" s="782"/>
      <c r="NR43" s="782"/>
      <c r="NS43" s="782"/>
      <c r="NT43" s="782"/>
      <c r="NU43" s="782"/>
      <c r="NV43" s="782"/>
      <c r="NW43" s="782"/>
      <c r="NX43" s="782"/>
      <c r="NY43" s="782"/>
      <c r="NZ43" s="782"/>
      <c r="OA43" s="782"/>
      <c r="OB43" s="782"/>
      <c r="OC43" s="782"/>
      <c r="OD43" s="782"/>
      <c r="OE43" s="782"/>
      <c r="OF43" s="782"/>
      <c r="OG43" s="782"/>
      <c r="OH43" s="782"/>
      <c r="OI43" s="782"/>
      <c r="OJ43" s="782"/>
      <c r="OK43" s="782"/>
      <c r="OL43" s="782"/>
      <c r="OM43" s="782"/>
      <c r="ON43" s="782"/>
      <c r="OO43" s="782"/>
      <c r="OP43" s="782"/>
      <c r="OQ43" s="782"/>
      <c r="OR43" s="782"/>
      <c r="OS43" s="782"/>
      <c r="OT43" s="782"/>
      <c r="OU43" s="782"/>
      <c r="OV43" s="782"/>
      <c r="OW43" s="782"/>
      <c r="OX43" s="782"/>
      <c r="OY43" s="782"/>
      <c r="OZ43" s="782"/>
      <c r="PA43" s="782"/>
      <c r="PB43" s="782"/>
      <c r="PC43" s="782"/>
      <c r="PD43" s="782"/>
      <c r="PE43" s="782"/>
      <c r="PF43" s="782"/>
      <c r="PG43" s="782"/>
      <c r="PH43" s="782"/>
      <c r="PI43" s="782"/>
      <c r="PJ43" s="782"/>
      <c r="PK43" s="782"/>
      <c r="PL43" s="782"/>
      <c r="PM43" s="782"/>
      <c r="PN43" s="782"/>
      <c r="PO43" s="782"/>
    </row>
    <row r="44" spans="1:431" s="143" customFormat="1">
      <c r="A44" s="782"/>
      <c r="B44" s="782"/>
      <c r="C44" s="785"/>
      <c r="D44" s="785"/>
      <c r="E44" s="785"/>
      <c r="F44" s="785"/>
      <c r="G44" s="785"/>
      <c r="H44" s="785"/>
      <c r="I44" s="785"/>
      <c r="J44" s="785"/>
      <c r="K44" s="785"/>
      <c r="L44" s="785"/>
      <c r="M44" s="782"/>
      <c r="N44" s="782"/>
      <c r="O44" s="782"/>
      <c r="P44" s="782"/>
      <c r="Q44" s="782"/>
      <c r="R44" s="782"/>
      <c r="S44" s="782"/>
      <c r="T44" s="782"/>
      <c r="U44" s="782"/>
      <c r="V44" s="782"/>
      <c r="W44" s="782"/>
      <c r="X44" s="782"/>
      <c r="Y44" s="782"/>
      <c r="Z44" s="782"/>
      <c r="AA44" s="782"/>
      <c r="AB44" s="782"/>
      <c r="AC44" s="782"/>
      <c r="AD44" s="782"/>
      <c r="AE44" s="782"/>
      <c r="AF44" s="782"/>
      <c r="AG44" s="782"/>
      <c r="AH44" s="782"/>
      <c r="AI44" s="782"/>
      <c r="AJ44" s="782"/>
      <c r="AK44" s="782"/>
      <c r="AL44" s="782"/>
      <c r="AM44" s="782"/>
      <c r="AN44" s="782"/>
      <c r="AO44" s="782"/>
      <c r="AP44" s="782"/>
      <c r="AQ44" s="782"/>
      <c r="AR44" s="782"/>
      <c r="AS44" s="782"/>
      <c r="AT44" s="782"/>
      <c r="AU44" s="782"/>
      <c r="AV44" s="782"/>
      <c r="AW44" s="782"/>
      <c r="AX44" s="782"/>
      <c r="AY44" s="782"/>
      <c r="AZ44" s="782"/>
      <c r="BA44" s="782"/>
      <c r="BB44" s="782"/>
      <c r="BC44" s="782"/>
      <c r="BD44" s="782"/>
      <c r="BE44" s="782"/>
      <c r="BF44" s="782"/>
      <c r="BG44" s="782"/>
      <c r="BH44" s="782"/>
      <c r="BI44" s="782"/>
      <c r="BJ44" s="782"/>
      <c r="BK44" s="782"/>
      <c r="BL44" s="782"/>
      <c r="BM44" s="782"/>
      <c r="BN44" s="782"/>
      <c r="BO44" s="782"/>
      <c r="BP44" s="782"/>
      <c r="BQ44" s="782"/>
      <c r="BR44" s="782"/>
      <c r="BS44" s="782"/>
      <c r="BT44" s="782"/>
      <c r="BU44" s="782"/>
      <c r="BV44" s="782"/>
      <c r="BW44" s="782"/>
      <c r="BX44" s="782"/>
      <c r="BY44" s="782"/>
      <c r="BZ44" s="782"/>
      <c r="CA44" s="782"/>
      <c r="CB44" s="782"/>
      <c r="CC44" s="782"/>
      <c r="CD44" s="782"/>
      <c r="CE44" s="782"/>
      <c r="CF44" s="782"/>
      <c r="CG44" s="782"/>
      <c r="CH44" s="782"/>
      <c r="CI44" s="782"/>
      <c r="CJ44" s="782"/>
      <c r="CK44" s="782"/>
      <c r="CL44" s="782"/>
      <c r="CM44" s="782"/>
      <c r="CN44" s="782"/>
      <c r="CO44" s="782"/>
      <c r="CP44" s="782"/>
      <c r="CQ44" s="782"/>
      <c r="CR44" s="782"/>
      <c r="CS44" s="782"/>
      <c r="CT44" s="782"/>
      <c r="CU44" s="782"/>
      <c r="CV44" s="782"/>
      <c r="CW44" s="782"/>
      <c r="CX44" s="782"/>
      <c r="CY44" s="782"/>
      <c r="CZ44" s="782"/>
      <c r="DA44" s="782"/>
      <c r="DB44" s="782"/>
      <c r="DC44" s="782"/>
      <c r="DD44" s="782"/>
      <c r="DE44" s="782"/>
      <c r="DF44" s="782"/>
      <c r="DG44" s="782"/>
      <c r="DH44" s="782"/>
      <c r="DI44" s="782"/>
      <c r="DJ44" s="782"/>
      <c r="DK44" s="782"/>
      <c r="DL44" s="782"/>
      <c r="DM44" s="782"/>
      <c r="DN44" s="782"/>
      <c r="DO44" s="782"/>
      <c r="DP44" s="782"/>
      <c r="DQ44" s="782"/>
      <c r="DR44" s="782"/>
      <c r="DS44" s="782"/>
      <c r="DT44" s="782"/>
      <c r="DU44" s="782"/>
      <c r="DV44" s="782"/>
      <c r="DW44" s="782"/>
      <c r="DX44" s="782"/>
      <c r="DY44" s="782"/>
      <c r="DZ44" s="782"/>
      <c r="EA44" s="782"/>
      <c r="EB44" s="782"/>
      <c r="EC44" s="782"/>
      <c r="ED44" s="782"/>
      <c r="EE44" s="782"/>
      <c r="EF44" s="782"/>
      <c r="EG44" s="782"/>
      <c r="EH44" s="782"/>
      <c r="EI44" s="782"/>
      <c r="EJ44" s="782"/>
      <c r="EK44" s="782"/>
      <c r="EL44" s="782"/>
      <c r="EM44" s="782"/>
      <c r="EN44" s="782"/>
      <c r="EO44" s="782"/>
      <c r="EP44" s="782"/>
      <c r="EQ44" s="782"/>
      <c r="ER44" s="782"/>
      <c r="ES44" s="782"/>
      <c r="ET44" s="782"/>
      <c r="EU44" s="782"/>
      <c r="EV44" s="782"/>
      <c r="EW44" s="782"/>
      <c r="EX44" s="782"/>
      <c r="EY44" s="782"/>
      <c r="EZ44" s="782"/>
      <c r="FA44" s="782"/>
      <c r="FB44" s="782"/>
      <c r="FC44" s="782"/>
      <c r="FD44" s="782"/>
      <c r="FE44" s="782"/>
      <c r="FF44" s="782"/>
      <c r="FG44" s="782"/>
      <c r="FH44" s="782"/>
      <c r="FI44" s="782"/>
      <c r="FJ44" s="782"/>
      <c r="FK44" s="782"/>
      <c r="FL44" s="782"/>
      <c r="FM44" s="782"/>
      <c r="FN44" s="782"/>
      <c r="FO44" s="782"/>
      <c r="FP44" s="782"/>
      <c r="FQ44" s="782"/>
      <c r="FR44" s="782"/>
      <c r="FS44" s="782"/>
      <c r="FT44" s="782"/>
      <c r="FU44" s="782"/>
      <c r="FV44" s="782"/>
      <c r="FW44" s="782"/>
      <c r="FX44" s="782"/>
      <c r="FY44" s="782"/>
      <c r="FZ44" s="782"/>
      <c r="GA44" s="782"/>
      <c r="GB44" s="782"/>
      <c r="GC44" s="782"/>
      <c r="GD44" s="782"/>
      <c r="GE44" s="782"/>
      <c r="GF44" s="782"/>
      <c r="GG44" s="782"/>
      <c r="GH44" s="782"/>
      <c r="GI44" s="782"/>
      <c r="GJ44" s="782"/>
      <c r="GK44" s="782"/>
      <c r="GL44" s="782"/>
      <c r="GM44" s="782"/>
      <c r="GN44" s="782"/>
      <c r="GO44" s="782"/>
      <c r="GP44" s="782"/>
      <c r="GQ44" s="782"/>
      <c r="GR44" s="782"/>
      <c r="GS44" s="782"/>
      <c r="GT44" s="782"/>
      <c r="GU44" s="782"/>
      <c r="GV44" s="782"/>
      <c r="GW44" s="782"/>
      <c r="GX44" s="782"/>
      <c r="GY44" s="782"/>
      <c r="GZ44" s="782"/>
      <c r="HA44" s="782"/>
      <c r="HB44" s="782"/>
      <c r="HC44" s="782"/>
      <c r="HD44" s="782"/>
      <c r="HE44" s="782"/>
      <c r="HF44" s="782"/>
      <c r="HG44" s="782"/>
      <c r="HH44" s="782"/>
      <c r="HI44" s="782"/>
      <c r="HJ44" s="782"/>
      <c r="HK44" s="782"/>
      <c r="HL44" s="782"/>
      <c r="HM44" s="782"/>
      <c r="HN44" s="782"/>
      <c r="HO44" s="782"/>
      <c r="HP44" s="782"/>
      <c r="HQ44" s="782"/>
      <c r="HR44" s="782"/>
      <c r="HS44" s="782"/>
      <c r="HT44" s="782"/>
      <c r="HU44" s="782"/>
      <c r="HV44" s="782"/>
      <c r="HW44" s="782"/>
      <c r="HX44" s="782"/>
      <c r="HY44" s="782"/>
      <c r="HZ44" s="782"/>
      <c r="IA44" s="782"/>
      <c r="IB44" s="782"/>
      <c r="IC44" s="782"/>
      <c r="ID44" s="782"/>
      <c r="IE44" s="782"/>
      <c r="IF44" s="782"/>
      <c r="IG44" s="782"/>
      <c r="IH44" s="782"/>
      <c r="II44" s="782"/>
      <c r="IJ44" s="782"/>
      <c r="IK44" s="782"/>
      <c r="IL44" s="782"/>
      <c r="IM44" s="782"/>
      <c r="IN44" s="782"/>
      <c r="IO44" s="782"/>
      <c r="IP44" s="782"/>
      <c r="IQ44" s="782"/>
      <c r="IR44" s="782"/>
      <c r="IS44" s="782"/>
      <c r="IT44" s="782"/>
      <c r="IU44" s="782"/>
      <c r="IV44" s="782"/>
      <c r="IW44" s="782"/>
      <c r="IX44" s="782"/>
      <c r="IY44" s="782"/>
      <c r="IZ44" s="782"/>
      <c r="JA44" s="782"/>
      <c r="JB44" s="782"/>
      <c r="JC44" s="782"/>
      <c r="JD44" s="782"/>
      <c r="JE44" s="782"/>
      <c r="JF44" s="782"/>
      <c r="JG44" s="782"/>
      <c r="JH44" s="782"/>
      <c r="JI44" s="782"/>
      <c r="JJ44" s="782"/>
      <c r="JK44" s="782"/>
      <c r="JL44" s="782"/>
      <c r="JM44" s="782"/>
      <c r="JN44" s="782"/>
      <c r="JO44" s="782"/>
      <c r="JP44" s="782"/>
      <c r="JQ44" s="782"/>
      <c r="JR44" s="782"/>
      <c r="JS44" s="782"/>
      <c r="JT44" s="782"/>
      <c r="JU44" s="782"/>
      <c r="JV44" s="782"/>
      <c r="JW44" s="782"/>
      <c r="JX44" s="782"/>
      <c r="JY44" s="782"/>
      <c r="JZ44" s="782"/>
      <c r="KA44" s="782"/>
      <c r="KB44" s="782"/>
      <c r="KC44" s="782"/>
      <c r="KD44" s="782"/>
      <c r="KE44" s="782"/>
      <c r="KF44" s="782"/>
      <c r="KG44" s="782"/>
      <c r="KH44" s="782"/>
      <c r="KI44" s="782"/>
      <c r="KJ44" s="782"/>
      <c r="KK44" s="782"/>
      <c r="KL44" s="782"/>
      <c r="KM44" s="782"/>
      <c r="KN44" s="782"/>
      <c r="KO44" s="782"/>
      <c r="KP44" s="782"/>
      <c r="KQ44" s="782"/>
      <c r="KR44" s="782"/>
      <c r="KS44" s="782"/>
      <c r="KT44" s="782"/>
      <c r="KU44" s="782"/>
      <c r="KV44" s="782"/>
      <c r="KW44" s="782"/>
      <c r="KX44" s="782"/>
      <c r="KY44" s="782"/>
      <c r="KZ44" s="782"/>
      <c r="LA44" s="782"/>
      <c r="LB44" s="782"/>
      <c r="LC44" s="782"/>
      <c r="LD44" s="782"/>
      <c r="LE44" s="782"/>
      <c r="LF44" s="782"/>
      <c r="LG44" s="782"/>
      <c r="LH44" s="782"/>
      <c r="LI44" s="782"/>
      <c r="LJ44" s="782"/>
      <c r="LK44" s="782"/>
      <c r="LL44" s="782"/>
      <c r="LM44" s="782"/>
      <c r="LN44" s="782"/>
      <c r="LO44" s="782"/>
      <c r="LP44" s="782"/>
      <c r="LQ44" s="782"/>
      <c r="LR44" s="782"/>
      <c r="LS44" s="782"/>
      <c r="LT44" s="782"/>
      <c r="LU44" s="782"/>
      <c r="LV44" s="782"/>
      <c r="LW44" s="782"/>
      <c r="LX44" s="782"/>
      <c r="LY44" s="782"/>
      <c r="LZ44" s="782"/>
      <c r="MA44" s="782"/>
      <c r="MB44" s="782"/>
      <c r="MC44" s="782"/>
      <c r="MD44" s="782"/>
      <c r="ME44" s="782"/>
      <c r="MF44" s="782"/>
      <c r="MG44" s="782"/>
      <c r="MH44" s="782"/>
      <c r="MI44" s="782"/>
      <c r="MJ44" s="782"/>
      <c r="MK44" s="782"/>
      <c r="ML44" s="782"/>
      <c r="MM44" s="782"/>
      <c r="MN44" s="782"/>
      <c r="MO44" s="782"/>
      <c r="MP44" s="782"/>
      <c r="MQ44" s="782"/>
      <c r="MR44" s="782"/>
      <c r="MS44" s="782"/>
      <c r="MT44" s="782"/>
      <c r="MU44" s="782"/>
      <c r="MV44" s="782"/>
      <c r="MW44" s="782"/>
      <c r="MX44" s="782"/>
      <c r="MY44" s="782"/>
      <c r="MZ44" s="782"/>
      <c r="NA44" s="782"/>
      <c r="NB44" s="782"/>
      <c r="NC44" s="782"/>
      <c r="ND44" s="782"/>
      <c r="NE44" s="782"/>
      <c r="NF44" s="782"/>
      <c r="NG44" s="782"/>
      <c r="NH44" s="782"/>
      <c r="NI44" s="782"/>
      <c r="NJ44" s="782"/>
      <c r="NK44" s="782"/>
      <c r="NL44" s="782"/>
      <c r="NM44" s="782"/>
      <c r="NN44" s="782"/>
      <c r="NO44" s="782"/>
      <c r="NP44" s="782"/>
      <c r="NQ44" s="782"/>
      <c r="NR44" s="782"/>
      <c r="NS44" s="782"/>
      <c r="NT44" s="782"/>
      <c r="NU44" s="782"/>
      <c r="NV44" s="782"/>
      <c r="NW44" s="782"/>
      <c r="NX44" s="782"/>
      <c r="NY44" s="782"/>
      <c r="NZ44" s="782"/>
      <c r="OA44" s="782"/>
      <c r="OB44" s="782"/>
      <c r="OC44" s="782"/>
      <c r="OD44" s="782"/>
      <c r="OE44" s="782"/>
      <c r="OF44" s="782"/>
      <c r="OG44" s="782"/>
      <c r="OH44" s="782"/>
      <c r="OI44" s="782"/>
      <c r="OJ44" s="782"/>
      <c r="OK44" s="782"/>
      <c r="OL44" s="782"/>
      <c r="OM44" s="782"/>
      <c r="ON44" s="782"/>
      <c r="OO44" s="782"/>
      <c r="OP44" s="782"/>
      <c r="OQ44" s="782"/>
      <c r="OR44" s="782"/>
      <c r="OS44" s="782"/>
      <c r="OT44" s="782"/>
      <c r="OU44" s="782"/>
      <c r="OV44" s="782"/>
      <c r="OW44" s="782"/>
      <c r="OX44" s="782"/>
      <c r="OY44" s="782"/>
      <c r="OZ44" s="782"/>
      <c r="PA44" s="782"/>
      <c r="PB44" s="782"/>
      <c r="PC44" s="782"/>
      <c r="PD44" s="782"/>
      <c r="PE44" s="782"/>
      <c r="PF44" s="782"/>
      <c r="PG44" s="782"/>
      <c r="PH44" s="782"/>
      <c r="PI44" s="782"/>
      <c r="PJ44" s="782"/>
      <c r="PK44" s="782"/>
      <c r="PL44" s="782"/>
      <c r="PM44" s="782"/>
      <c r="PN44" s="782"/>
      <c r="PO44" s="782"/>
    </row>
    <row r="45" spans="1:431" s="143" customFormat="1">
      <c r="A45" s="782"/>
      <c r="B45" s="782"/>
      <c r="C45" s="785"/>
      <c r="D45" s="785"/>
      <c r="E45" s="785"/>
      <c r="F45" s="785"/>
      <c r="G45" s="785"/>
      <c r="H45" s="785"/>
      <c r="I45" s="785"/>
      <c r="J45" s="785"/>
      <c r="K45" s="785"/>
      <c r="L45" s="785"/>
      <c r="M45" s="782"/>
      <c r="N45" s="782"/>
      <c r="O45" s="782"/>
      <c r="P45" s="782"/>
      <c r="Q45" s="782"/>
      <c r="R45" s="782"/>
      <c r="S45" s="782"/>
      <c r="T45" s="782"/>
      <c r="U45" s="782"/>
      <c r="V45" s="782"/>
      <c r="W45" s="782"/>
      <c r="X45" s="782"/>
      <c r="Y45" s="782"/>
      <c r="Z45" s="782"/>
      <c r="AA45" s="782"/>
      <c r="AB45" s="782"/>
      <c r="AC45" s="782"/>
      <c r="AD45" s="782"/>
      <c r="AE45" s="782"/>
      <c r="AF45" s="782"/>
      <c r="AG45" s="782"/>
      <c r="AH45" s="782"/>
      <c r="AI45" s="782"/>
      <c r="AJ45" s="782"/>
      <c r="AK45" s="782"/>
      <c r="AL45" s="782"/>
      <c r="AM45" s="782"/>
      <c r="AN45" s="782"/>
      <c r="AO45" s="782"/>
      <c r="AP45" s="782"/>
      <c r="AQ45" s="782"/>
      <c r="AR45" s="782"/>
      <c r="AS45" s="782"/>
      <c r="AT45" s="782"/>
      <c r="AU45" s="782"/>
      <c r="AV45" s="782"/>
      <c r="AW45" s="782"/>
      <c r="AX45" s="782"/>
      <c r="AY45" s="782"/>
      <c r="AZ45" s="782"/>
      <c r="BA45" s="782"/>
      <c r="BB45" s="782"/>
      <c r="BC45" s="782"/>
      <c r="BD45" s="782"/>
      <c r="BE45" s="782"/>
      <c r="BF45" s="782"/>
      <c r="BG45" s="782"/>
      <c r="BH45" s="782"/>
      <c r="BI45" s="782"/>
      <c r="BJ45" s="782"/>
      <c r="BK45" s="782"/>
      <c r="BL45" s="782"/>
      <c r="BM45" s="782"/>
      <c r="BN45" s="782"/>
      <c r="BO45" s="782"/>
      <c r="BP45" s="782"/>
      <c r="BQ45" s="782"/>
      <c r="BR45" s="782"/>
      <c r="BS45" s="782"/>
      <c r="BT45" s="782"/>
      <c r="BU45" s="782"/>
      <c r="BV45" s="782"/>
      <c r="BW45" s="782"/>
      <c r="BX45" s="782"/>
      <c r="BY45" s="782"/>
      <c r="BZ45" s="782"/>
      <c r="CA45" s="782"/>
      <c r="CB45" s="782"/>
      <c r="CC45" s="782"/>
      <c r="CD45" s="782"/>
      <c r="CE45" s="782"/>
      <c r="CF45" s="782"/>
      <c r="CG45" s="782"/>
      <c r="CH45" s="782"/>
      <c r="CI45" s="782"/>
      <c r="CJ45" s="782"/>
      <c r="CK45" s="782"/>
      <c r="CL45" s="782"/>
      <c r="CM45" s="782"/>
      <c r="CN45" s="782"/>
      <c r="CO45" s="782"/>
      <c r="CP45" s="782"/>
      <c r="CQ45" s="782"/>
      <c r="CR45" s="782"/>
      <c r="CS45" s="782"/>
      <c r="CT45" s="782"/>
      <c r="CU45" s="782"/>
      <c r="CV45" s="782"/>
      <c r="CW45" s="782"/>
      <c r="CX45" s="782"/>
      <c r="CY45" s="782"/>
      <c r="CZ45" s="782"/>
      <c r="DA45" s="782"/>
      <c r="DB45" s="782"/>
      <c r="DC45" s="782"/>
      <c r="DD45" s="782"/>
      <c r="DE45" s="782"/>
      <c r="DF45" s="782"/>
      <c r="DG45" s="782"/>
      <c r="DH45" s="782"/>
      <c r="DI45" s="782"/>
      <c r="DJ45" s="782"/>
      <c r="DK45" s="782"/>
      <c r="DL45" s="782"/>
      <c r="DM45" s="782"/>
      <c r="DN45" s="782"/>
      <c r="DO45" s="782"/>
      <c r="DP45" s="782"/>
      <c r="DQ45" s="782"/>
      <c r="DR45" s="782"/>
      <c r="DS45" s="782"/>
      <c r="DT45" s="782"/>
      <c r="DU45" s="782"/>
      <c r="DV45" s="782"/>
      <c r="DW45" s="782"/>
      <c r="DX45" s="782"/>
      <c r="DY45" s="782"/>
      <c r="DZ45" s="782"/>
      <c r="EA45" s="782"/>
      <c r="EB45" s="782"/>
      <c r="EC45" s="782"/>
      <c r="ED45" s="782"/>
      <c r="EE45" s="782"/>
      <c r="EF45" s="782"/>
      <c r="EG45" s="782"/>
      <c r="EH45" s="782"/>
      <c r="EI45" s="782"/>
      <c r="EJ45" s="782"/>
      <c r="EK45" s="782"/>
      <c r="EL45" s="782"/>
      <c r="EM45" s="782"/>
      <c r="EN45" s="782"/>
      <c r="EO45" s="782"/>
      <c r="EP45" s="782"/>
      <c r="EQ45" s="782"/>
      <c r="ER45" s="782"/>
      <c r="ES45" s="782"/>
      <c r="ET45" s="782"/>
      <c r="EU45" s="782"/>
      <c r="EV45" s="782"/>
      <c r="EW45" s="782"/>
      <c r="EX45" s="782"/>
      <c r="EY45" s="782"/>
      <c r="EZ45" s="782"/>
      <c r="FA45" s="782"/>
      <c r="FB45" s="782"/>
      <c r="FC45" s="782"/>
      <c r="FD45" s="782"/>
      <c r="FE45" s="782"/>
      <c r="FF45" s="782"/>
      <c r="FG45" s="782"/>
      <c r="FH45" s="782"/>
      <c r="FI45" s="782"/>
      <c r="FJ45" s="782"/>
      <c r="FK45" s="782"/>
      <c r="FL45" s="782"/>
      <c r="FM45" s="782"/>
      <c r="FN45" s="782"/>
      <c r="FO45" s="782"/>
      <c r="FP45" s="782"/>
      <c r="FQ45" s="782"/>
      <c r="FR45" s="782"/>
      <c r="FS45" s="782"/>
      <c r="FT45" s="782"/>
      <c r="FU45" s="782"/>
      <c r="FV45" s="782"/>
      <c r="FW45" s="782"/>
      <c r="FX45" s="782"/>
      <c r="FY45" s="782"/>
      <c r="FZ45" s="782"/>
      <c r="GA45" s="782"/>
      <c r="GB45" s="782"/>
      <c r="GC45" s="782"/>
      <c r="GD45" s="782"/>
      <c r="GE45" s="782"/>
      <c r="GF45" s="782"/>
      <c r="GG45" s="782"/>
      <c r="GH45" s="782"/>
      <c r="GI45" s="782"/>
      <c r="GJ45" s="782"/>
      <c r="GK45" s="782"/>
      <c r="GL45" s="782"/>
      <c r="GM45" s="782"/>
      <c r="GN45" s="782"/>
      <c r="GO45" s="782"/>
      <c r="GP45" s="782"/>
      <c r="GQ45" s="782"/>
      <c r="GR45" s="782"/>
      <c r="GS45" s="782"/>
      <c r="GT45" s="782"/>
      <c r="GU45" s="782"/>
      <c r="GV45" s="782"/>
      <c r="GW45" s="782"/>
      <c r="GX45" s="782"/>
      <c r="GY45" s="782"/>
      <c r="GZ45" s="782"/>
      <c r="HA45" s="782"/>
      <c r="HB45" s="782"/>
      <c r="HC45" s="782"/>
      <c r="HD45" s="782"/>
      <c r="HE45" s="782"/>
      <c r="HF45" s="782"/>
      <c r="HG45" s="782"/>
      <c r="HH45" s="782"/>
      <c r="HI45" s="782"/>
      <c r="HJ45" s="782"/>
      <c r="HK45" s="782"/>
      <c r="HL45" s="782"/>
      <c r="HM45" s="782"/>
      <c r="HN45" s="782"/>
      <c r="HO45" s="782"/>
      <c r="HP45" s="782"/>
      <c r="HQ45" s="782"/>
      <c r="HR45" s="782"/>
      <c r="HS45" s="782"/>
      <c r="HT45" s="782"/>
      <c r="HU45" s="782"/>
      <c r="HV45" s="782"/>
      <c r="HW45" s="782"/>
      <c r="HX45" s="782"/>
      <c r="HY45" s="782"/>
      <c r="HZ45" s="782"/>
      <c r="IA45" s="782"/>
      <c r="IB45" s="782"/>
      <c r="IC45" s="782"/>
      <c r="ID45" s="782"/>
      <c r="IE45" s="782"/>
      <c r="IF45" s="782"/>
      <c r="IG45" s="782"/>
      <c r="IH45" s="782"/>
      <c r="II45" s="782"/>
      <c r="IJ45" s="782"/>
      <c r="IK45" s="782"/>
      <c r="IL45" s="782"/>
      <c r="IM45" s="782"/>
      <c r="IN45" s="782"/>
      <c r="IO45" s="782"/>
      <c r="IP45" s="782"/>
      <c r="IQ45" s="782"/>
      <c r="IR45" s="782"/>
      <c r="IS45" s="782"/>
      <c r="IT45" s="782"/>
      <c r="IU45" s="782"/>
      <c r="IV45" s="782"/>
      <c r="IW45" s="782"/>
      <c r="IX45" s="782"/>
      <c r="IY45" s="782"/>
      <c r="IZ45" s="782"/>
      <c r="JA45" s="782"/>
      <c r="JB45" s="782"/>
      <c r="JC45" s="782"/>
      <c r="JD45" s="782"/>
      <c r="JE45" s="782"/>
      <c r="JF45" s="782"/>
      <c r="JG45" s="782"/>
      <c r="JH45" s="782"/>
      <c r="JI45" s="782"/>
      <c r="JJ45" s="782"/>
      <c r="JK45" s="782"/>
      <c r="JL45" s="782"/>
      <c r="JM45" s="782"/>
      <c r="JN45" s="782"/>
      <c r="JO45" s="782"/>
      <c r="JP45" s="782"/>
      <c r="JQ45" s="782"/>
      <c r="JR45" s="782"/>
      <c r="JS45" s="782"/>
      <c r="JT45" s="782"/>
      <c r="JU45" s="782"/>
      <c r="JV45" s="782"/>
      <c r="JW45" s="782"/>
      <c r="JX45" s="782"/>
      <c r="JY45" s="782"/>
      <c r="JZ45" s="782"/>
      <c r="KA45" s="782"/>
      <c r="KB45" s="782"/>
      <c r="KC45" s="782"/>
      <c r="KD45" s="782"/>
      <c r="KE45" s="782"/>
      <c r="KF45" s="782"/>
      <c r="KG45" s="782"/>
      <c r="KH45" s="782"/>
      <c r="KI45" s="782"/>
      <c r="KJ45" s="782"/>
      <c r="KK45" s="782"/>
      <c r="KL45" s="782"/>
      <c r="KM45" s="782"/>
      <c r="KN45" s="782"/>
      <c r="KO45" s="782"/>
      <c r="KP45" s="782"/>
      <c r="KQ45" s="782"/>
      <c r="KR45" s="782"/>
      <c r="KS45" s="782"/>
      <c r="KT45" s="782"/>
      <c r="KU45" s="782"/>
      <c r="KV45" s="782"/>
      <c r="KW45" s="782"/>
      <c r="KX45" s="782"/>
      <c r="KY45" s="782"/>
      <c r="KZ45" s="782"/>
      <c r="LA45" s="782"/>
      <c r="LB45" s="782"/>
      <c r="LC45" s="782"/>
      <c r="LD45" s="782"/>
      <c r="LE45" s="782"/>
      <c r="LF45" s="782"/>
      <c r="LG45" s="782"/>
      <c r="LH45" s="782"/>
      <c r="LI45" s="782"/>
      <c r="LJ45" s="782"/>
      <c r="LK45" s="782"/>
      <c r="LL45" s="782"/>
      <c r="LM45" s="782"/>
      <c r="LN45" s="782"/>
      <c r="LO45" s="782"/>
      <c r="LP45" s="782"/>
      <c r="LQ45" s="782"/>
      <c r="LR45" s="782"/>
      <c r="LS45" s="782"/>
      <c r="LT45" s="782"/>
      <c r="LU45" s="782"/>
      <c r="LV45" s="782"/>
      <c r="LW45" s="782"/>
      <c r="LX45" s="782"/>
      <c r="LY45" s="782"/>
      <c r="LZ45" s="782"/>
      <c r="MA45" s="782"/>
      <c r="MB45" s="782"/>
      <c r="MC45" s="782"/>
      <c r="MD45" s="782"/>
      <c r="ME45" s="782"/>
      <c r="MF45" s="782"/>
      <c r="MG45" s="782"/>
      <c r="MH45" s="782"/>
      <c r="MI45" s="782"/>
      <c r="MJ45" s="782"/>
      <c r="MK45" s="782"/>
      <c r="ML45" s="782"/>
      <c r="MM45" s="782"/>
      <c r="MN45" s="782"/>
      <c r="MO45" s="782"/>
      <c r="MP45" s="782"/>
      <c r="MQ45" s="782"/>
      <c r="MR45" s="782"/>
      <c r="MS45" s="782"/>
      <c r="MT45" s="782"/>
      <c r="MU45" s="782"/>
      <c r="MV45" s="782"/>
      <c r="MW45" s="782"/>
      <c r="MX45" s="782"/>
      <c r="MY45" s="782"/>
      <c r="MZ45" s="782"/>
      <c r="NA45" s="782"/>
      <c r="NB45" s="782"/>
      <c r="NC45" s="782"/>
      <c r="ND45" s="782"/>
      <c r="NE45" s="782"/>
      <c r="NF45" s="782"/>
      <c r="NG45" s="782"/>
      <c r="NH45" s="782"/>
      <c r="NI45" s="782"/>
      <c r="NJ45" s="782"/>
      <c r="NK45" s="782"/>
      <c r="NL45" s="782"/>
      <c r="NM45" s="782"/>
      <c r="NN45" s="782"/>
      <c r="NO45" s="782"/>
      <c r="NP45" s="782"/>
      <c r="NQ45" s="782"/>
      <c r="NR45" s="782"/>
      <c r="NS45" s="782"/>
      <c r="NT45" s="782"/>
      <c r="NU45" s="782"/>
      <c r="NV45" s="782"/>
      <c r="NW45" s="782"/>
      <c r="NX45" s="782"/>
      <c r="NY45" s="782"/>
      <c r="NZ45" s="782"/>
      <c r="OA45" s="782"/>
      <c r="OB45" s="782"/>
      <c r="OC45" s="782"/>
      <c r="OD45" s="782"/>
      <c r="OE45" s="782"/>
      <c r="OF45" s="782"/>
      <c r="OG45" s="782"/>
      <c r="OH45" s="782"/>
      <c r="OI45" s="782"/>
      <c r="OJ45" s="782"/>
      <c r="OK45" s="782"/>
      <c r="OL45" s="782"/>
      <c r="OM45" s="782"/>
      <c r="ON45" s="782"/>
      <c r="OO45" s="782"/>
      <c r="OP45" s="782"/>
      <c r="OQ45" s="782"/>
      <c r="OR45" s="782"/>
      <c r="OS45" s="782"/>
      <c r="OT45" s="782"/>
      <c r="OU45" s="782"/>
      <c r="OV45" s="782"/>
      <c r="OW45" s="782"/>
      <c r="OX45" s="782"/>
      <c r="OY45" s="782"/>
      <c r="OZ45" s="782"/>
      <c r="PA45" s="782"/>
      <c r="PB45" s="782"/>
      <c r="PC45" s="782"/>
      <c r="PD45" s="782"/>
      <c r="PE45" s="782"/>
      <c r="PF45" s="782"/>
      <c r="PG45" s="782"/>
      <c r="PH45" s="782"/>
      <c r="PI45" s="782"/>
      <c r="PJ45" s="782"/>
      <c r="PK45" s="782"/>
      <c r="PL45" s="782"/>
      <c r="PM45" s="782"/>
      <c r="PN45" s="782"/>
      <c r="PO45" s="782"/>
    </row>
    <row r="46" spans="1:431" s="143" customFormat="1">
      <c r="A46" s="782"/>
      <c r="B46" s="782"/>
      <c r="C46" s="785"/>
      <c r="D46" s="785"/>
      <c r="E46" s="785"/>
      <c r="F46" s="785"/>
      <c r="G46" s="785"/>
      <c r="H46" s="785"/>
      <c r="I46" s="785"/>
      <c r="J46" s="785"/>
      <c r="K46" s="785"/>
      <c r="L46" s="785"/>
      <c r="M46" s="782"/>
      <c r="N46" s="782"/>
      <c r="O46" s="782"/>
      <c r="P46" s="782"/>
      <c r="Q46" s="782"/>
      <c r="R46" s="782"/>
      <c r="S46" s="782"/>
      <c r="T46" s="782"/>
      <c r="U46" s="782"/>
      <c r="V46" s="782"/>
      <c r="W46" s="782"/>
      <c r="X46" s="782"/>
      <c r="Y46" s="782"/>
      <c r="Z46" s="782"/>
      <c r="AA46" s="782"/>
      <c r="AB46" s="782"/>
      <c r="AC46" s="782"/>
      <c r="AD46" s="782"/>
      <c r="AE46" s="782"/>
      <c r="AF46" s="782"/>
      <c r="AG46" s="782"/>
      <c r="AH46" s="782"/>
      <c r="AI46" s="782"/>
      <c r="AJ46" s="782"/>
      <c r="AK46" s="782"/>
      <c r="AL46" s="782"/>
      <c r="AM46" s="782"/>
      <c r="AN46" s="782"/>
      <c r="AO46" s="782"/>
      <c r="AP46" s="782"/>
      <c r="AQ46" s="782"/>
      <c r="AR46" s="782"/>
      <c r="AS46" s="782"/>
      <c r="AT46" s="782"/>
      <c r="AU46" s="782"/>
      <c r="AV46" s="782"/>
      <c r="AW46" s="782"/>
      <c r="AX46" s="782"/>
      <c r="AY46" s="782"/>
      <c r="AZ46" s="782"/>
      <c r="BA46" s="782"/>
      <c r="BB46" s="782"/>
      <c r="BC46" s="782"/>
      <c r="BD46" s="782"/>
      <c r="BE46" s="782"/>
      <c r="BF46" s="782"/>
      <c r="BG46" s="782"/>
      <c r="BH46" s="782"/>
      <c r="BI46" s="782"/>
      <c r="BJ46" s="782"/>
      <c r="BK46" s="782"/>
      <c r="BL46" s="782"/>
      <c r="BM46" s="782"/>
      <c r="BN46" s="782"/>
      <c r="BO46" s="782"/>
      <c r="BP46" s="782"/>
      <c r="BQ46" s="782"/>
      <c r="BR46" s="782"/>
      <c r="BS46" s="782"/>
      <c r="BT46" s="782"/>
      <c r="BU46" s="782"/>
      <c r="BV46" s="782"/>
      <c r="BW46" s="782"/>
      <c r="BX46" s="782"/>
      <c r="BY46" s="782"/>
      <c r="BZ46" s="782"/>
      <c r="CA46" s="782"/>
      <c r="CB46" s="782"/>
      <c r="CC46" s="782"/>
      <c r="CD46" s="782"/>
      <c r="CE46" s="782"/>
      <c r="CF46" s="782"/>
      <c r="CG46" s="782"/>
      <c r="CH46" s="782"/>
      <c r="CI46" s="782"/>
      <c r="CJ46" s="782"/>
      <c r="CK46" s="782"/>
      <c r="CL46" s="782"/>
      <c r="CM46" s="782"/>
      <c r="CN46" s="782"/>
      <c r="CO46" s="782"/>
      <c r="CP46" s="782"/>
      <c r="CQ46" s="782"/>
      <c r="CR46" s="782"/>
      <c r="CS46" s="782"/>
      <c r="CT46" s="782"/>
      <c r="CU46" s="782"/>
      <c r="CV46" s="782"/>
      <c r="CW46" s="782"/>
      <c r="CX46" s="782"/>
      <c r="CY46" s="782"/>
      <c r="CZ46" s="782"/>
      <c r="DA46" s="782"/>
      <c r="DB46" s="782"/>
      <c r="DC46" s="782"/>
      <c r="DD46" s="782"/>
      <c r="DE46" s="782"/>
      <c r="DF46" s="782"/>
      <c r="DG46" s="782"/>
      <c r="DH46" s="782"/>
      <c r="DI46" s="782"/>
      <c r="DJ46" s="782"/>
      <c r="DK46" s="782"/>
      <c r="DL46" s="782"/>
      <c r="DM46" s="782"/>
      <c r="DN46" s="782"/>
      <c r="DO46" s="782"/>
      <c r="DP46" s="782"/>
      <c r="DQ46" s="782"/>
      <c r="DR46" s="782"/>
      <c r="DS46" s="782"/>
      <c r="DT46" s="782"/>
      <c r="DU46" s="782"/>
      <c r="DV46" s="782"/>
      <c r="DW46" s="782"/>
      <c r="DX46" s="782"/>
      <c r="DY46" s="782"/>
      <c r="DZ46" s="782"/>
      <c r="EA46" s="782"/>
      <c r="EB46" s="782"/>
      <c r="EC46" s="782"/>
      <c r="ED46" s="782"/>
      <c r="EE46" s="782"/>
      <c r="EF46" s="782"/>
      <c r="EG46" s="782"/>
      <c r="EH46" s="782"/>
      <c r="EI46" s="782"/>
      <c r="EJ46" s="782"/>
      <c r="EK46" s="782"/>
      <c r="EL46" s="782"/>
      <c r="EM46" s="782"/>
      <c r="EN46" s="782"/>
      <c r="EO46" s="782"/>
      <c r="EP46" s="782"/>
      <c r="EQ46" s="782"/>
      <c r="ER46" s="782"/>
      <c r="ES46" s="782"/>
      <c r="ET46" s="782"/>
      <c r="EU46" s="782"/>
      <c r="EV46" s="782"/>
      <c r="EW46" s="782"/>
      <c r="EX46" s="782"/>
      <c r="EY46" s="782"/>
      <c r="EZ46" s="782"/>
      <c r="FA46" s="782"/>
      <c r="FB46" s="782"/>
      <c r="FC46" s="782"/>
      <c r="FD46" s="782"/>
      <c r="FE46" s="782"/>
      <c r="FF46" s="782"/>
      <c r="FG46" s="782"/>
      <c r="FH46" s="782"/>
      <c r="FI46" s="782"/>
      <c r="FJ46" s="782"/>
      <c r="FK46" s="782"/>
      <c r="FL46" s="782"/>
      <c r="FM46" s="782"/>
      <c r="FN46" s="782"/>
      <c r="FO46" s="782"/>
      <c r="FP46" s="782"/>
      <c r="FQ46" s="782"/>
      <c r="FR46" s="782"/>
      <c r="FS46" s="782"/>
      <c r="FT46" s="782"/>
      <c r="FU46" s="782"/>
      <c r="FV46" s="782"/>
      <c r="FW46" s="782"/>
      <c r="FX46" s="782"/>
      <c r="FY46" s="782"/>
      <c r="FZ46" s="782"/>
      <c r="GA46" s="782"/>
      <c r="GB46" s="782"/>
      <c r="GC46" s="782"/>
      <c r="GD46" s="782"/>
      <c r="GE46" s="782"/>
      <c r="GF46" s="782"/>
      <c r="GG46" s="782"/>
      <c r="GH46" s="782"/>
      <c r="GI46" s="782"/>
      <c r="GJ46" s="782"/>
      <c r="GK46" s="782"/>
      <c r="GL46" s="782"/>
      <c r="GM46" s="782"/>
      <c r="GN46" s="782"/>
      <c r="GO46" s="782"/>
      <c r="GP46" s="782"/>
      <c r="GQ46" s="782"/>
      <c r="GR46" s="782"/>
      <c r="GS46" s="782"/>
      <c r="GT46" s="782"/>
      <c r="GU46" s="782"/>
      <c r="GV46" s="782"/>
      <c r="GW46" s="782"/>
      <c r="GX46" s="782"/>
      <c r="GY46" s="782"/>
      <c r="GZ46" s="782"/>
      <c r="HA46" s="782"/>
      <c r="HB46" s="782"/>
      <c r="HC46" s="782"/>
      <c r="HD46" s="782"/>
      <c r="HE46" s="782"/>
      <c r="HF46" s="782"/>
      <c r="HG46" s="782"/>
      <c r="HH46" s="782"/>
      <c r="HI46" s="782"/>
      <c r="HJ46" s="782"/>
      <c r="HK46" s="782"/>
      <c r="HL46" s="782"/>
      <c r="HM46" s="782"/>
      <c r="HN46" s="782"/>
      <c r="HO46" s="782"/>
      <c r="HP46" s="782"/>
      <c r="HQ46" s="782"/>
      <c r="HR46" s="782"/>
      <c r="HS46" s="782"/>
      <c r="HT46" s="782"/>
      <c r="HU46" s="782"/>
      <c r="HV46" s="782"/>
      <c r="HW46" s="782"/>
      <c r="HX46" s="782"/>
      <c r="HY46" s="782"/>
      <c r="HZ46" s="782"/>
      <c r="IA46" s="782"/>
      <c r="IB46" s="782"/>
      <c r="IC46" s="782"/>
      <c r="ID46" s="782"/>
      <c r="IE46" s="782"/>
      <c r="IF46" s="782"/>
      <c r="IG46" s="782"/>
      <c r="IH46" s="782"/>
      <c r="II46" s="782"/>
      <c r="IJ46" s="782"/>
      <c r="IK46" s="782"/>
      <c r="IL46" s="782"/>
      <c r="IM46" s="782"/>
      <c r="IN46" s="782"/>
      <c r="IO46" s="782"/>
      <c r="IP46" s="782"/>
      <c r="IQ46" s="782"/>
      <c r="IR46" s="782"/>
      <c r="IS46" s="782"/>
      <c r="IT46" s="782"/>
      <c r="IU46" s="782"/>
      <c r="IV46" s="782"/>
      <c r="IW46" s="782"/>
      <c r="IX46" s="782"/>
      <c r="IY46" s="782"/>
      <c r="IZ46" s="782"/>
      <c r="JA46" s="782"/>
      <c r="JB46" s="782"/>
      <c r="JC46" s="782"/>
      <c r="JD46" s="782"/>
      <c r="JE46" s="782"/>
      <c r="JF46" s="782"/>
      <c r="JG46" s="782"/>
      <c r="JH46" s="782"/>
      <c r="JI46" s="782"/>
      <c r="JJ46" s="782"/>
      <c r="JK46" s="782"/>
      <c r="JL46" s="782"/>
      <c r="JM46" s="782"/>
      <c r="JN46" s="782"/>
      <c r="JO46" s="782"/>
      <c r="JP46" s="782"/>
      <c r="JQ46" s="782"/>
      <c r="JR46" s="782"/>
      <c r="JS46" s="782"/>
      <c r="JT46" s="782"/>
      <c r="JU46" s="782"/>
      <c r="JV46" s="782"/>
      <c r="JW46" s="782"/>
      <c r="JX46" s="782"/>
      <c r="JY46" s="782"/>
      <c r="JZ46" s="782"/>
      <c r="KA46" s="782"/>
      <c r="KB46" s="782"/>
      <c r="KC46" s="782"/>
      <c r="KD46" s="782"/>
      <c r="KE46" s="782"/>
      <c r="KF46" s="782"/>
      <c r="KG46" s="782"/>
      <c r="KH46" s="782"/>
      <c r="KI46" s="782"/>
      <c r="KJ46" s="782"/>
      <c r="KK46" s="782"/>
      <c r="KL46" s="782"/>
      <c r="KM46" s="782"/>
      <c r="KN46" s="782"/>
      <c r="KO46" s="782"/>
      <c r="KP46" s="782"/>
      <c r="KQ46" s="782"/>
      <c r="KR46" s="782"/>
      <c r="KS46" s="782"/>
      <c r="KT46" s="782"/>
      <c r="KU46" s="782"/>
      <c r="KV46" s="782"/>
      <c r="KW46" s="782"/>
      <c r="KX46" s="782"/>
      <c r="KY46" s="782"/>
      <c r="KZ46" s="782"/>
      <c r="LA46" s="782"/>
      <c r="LB46" s="782"/>
      <c r="LC46" s="782"/>
      <c r="LD46" s="782"/>
      <c r="LE46" s="782"/>
      <c r="LF46" s="782"/>
      <c r="LG46" s="782"/>
      <c r="LH46" s="782"/>
      <c r="LI46" s="782"/>
      <c r="LJ46" s="782"/>
      <c r="LK46" s="782"/>
      <c r="LL46" s="782"/>
      <c r="LM46" s="782"/>
      <c r="LN46" s="782"/>
      <c r="LO46" s="782"/>
      <c r="LP46" s="782"/>
      <c r="LQ46" s="782"/>
      <c r="LR46" s="782"/>
      <c r="LS46" s="782"/>
      <c r="LT46" s="782"/>
      <c r="LU46" s="782"/>
      <c r="LV46" s="782"/>
      <c r="LW46" s="782"/>
      <c r="LX46" s="782"/>
      <c r="LY46" s="782"/>
      <c r="LZ46" s="782"/>
      <c r="MA46" s="782"/>
      <c r="MB46" s="782"/>
      <c r="MC46" s="782"/>
      <c r="MD46" s="782"/>
      <c r="ME46" s="782"/>
      <c r="MF46" s="782"/>
      <c r="MG46" s="782"/>
      <c r="MH46" s="782"/>
      <c r="MI46" s="782"/>
      <c r="MJ46" s="782"/>
      <c r="MK46" s="782"/>
      <c r="ML46" s="782"/>
      <c r="MM46" s="782"/>
      <c r="MN46" s="782"/>
      <c r="MO46" s="782"/>
      <c r="MP46" s="782"/>
      <c r="MQ46" s="782"/>
      <c r="MR46" s="782"/>
      <c r="MS46" s="782"/>
      <c r="MT46" s="782"/>
      <c r="MU46" s="782"/>
      <c r="MV46" s="782"/>
      <c r="MW46" s="782"/>
      <c r="MX46" s="782"/>
      <c r="MY46" s="782"/>
      <c r="MZ46" s="782"/>
      <c r="NA46" s="782"/>
      <c r="NB46" s="782"/>
      <c r="NC46" s="782"/>
      <c r="ND46" s="782"/>
      <c r="NE46" s="782"/>
      <c r="NF46" s="782"/>
      <c r="NG46" s="782"/>
      <c r="NH46" s="782"/>
      <c r="NI46" s="782"/>
      <c r="NJ46" s="782"/>
      <c r="NK46" s="782"/>
      <c r="NL46" s="782"/>
      <c r="NM46" s="782"/>
      <c r="NN46" s="782"/>
      <c r="NO46" s="782"/>
      <c r="NP46" s="782"/>
      <c r="NQ46" s="782"/>
      <c r="NR46" s="782"/>
      <c r="NS46" s="782"/>
      <c r="NT46" s="782"/>
      <c r="NU46" s="782"/>
      <c r="NV46" s="782"/>
      <c r="NW46" s="782"/>
      <c r="NX46" s="782"/>
      <c r="NY46" s="782"/>
      <c r="NZ46" s="782"/>
      <c r="OA46" s="782"/>
      <c r="OB46" s="782"/>
      <c r="OC46" s="782"/>
      <c r="OD46" s="782"/>
      <c r="OE46" s="782"/>
      <c r="OF46" s="782"/>
      <c r="OG46" s="782"/>
      <c r="OH46" s="782"/>
      <c r="OI46" s="782"/>
      <c r="OJ46" s="782"/>
      <c r="OK46" s="782"/>
      <c r="OL46" s="782"/>
      <c r="OM46" s="782"/>
      <c r="ON46" s="782"/>
      <c r="OO46" s="782"/>
      <c r="OP46" s="782"/>
      <c r="OQ46" s="782"/>
      <c r="OR46" s="782"/>
      <c r="OS46" s="782"/>
      <c r="OT46" s="782"/>
      <c r="OU46" s="782"/>
      <c r="OV46" s="782"/>
      <c r="OW46" s="782"/>
      <c r="OX46" s="782"/>
      <c r="OY46" s="782"/>
      <c r="OZ46" s="782"/>
      <c r="PA46" s="782"/>
      <c r="PB46" s="782"/>
      <c r="PC46" s="782"/>
      <c r="PD46" s="782"/>
      <c r="PE46" s="782"/>
      <c r="PF46" s="782"/>
      <c r="PG46" s="782"/>
      <c r="PH46" s="782"/>
      <c r="PI46" s="782"/>
      <c r="PJ46" s="782"/>
      <c r="PK46" s="782"/>
      <c r="PL46" s="782"/>
      <c r="PM46" s="782"/>
      <c r="PN46" s="782"/>
      <c r="PO46" s="782"/>
    </row>
    <row r="47" spans="1:431" s="143" customFormat="1">
      <c r="A47" s="782"/>
      <c r="B47" s="782"/>
      <c r="C47" s="785"/>
      <c r="D47" s="785"/>
      <c r="E47" s="785"/>
      <c r="F47" s="785"/>
      <c r="G47" s="785"/>
      <c r="H47" s="785"/>
      <c r="I47" s="785"/>
      <c r="J47" s="785"/>
      <c r="K47" s="785"/>
      <c r="L47" s="785"/>
      <c r="M47" s="782"/>
      <c r="N47" s="782"/>
      <c r="O47" s="782"/>
      <c r="P47" s="782"/>
      <c r="Q47" s="782"/>
      <c r="R47" s="782"/>
      <c r="S47" s="782"/>
      <c r="T47" s="782"/>
      <c r="U47" s="782"/>
      <c r="V47" s="782"/>
      <c r="W47" s="782"/>
      <c r="X47" s="782"/>
      <c r="Y47" s="782"/>
      <c r="Z47" s="782"/>
      <c r="AA47" s="782"/>
      <c r="AB47" s="782"/>
      <c r="AC47" s="782"/>
      <c r="AD47" s="782"/>
      <c r="AE47" s="782"/>
      <c r="AF47" s="782"/>
      <c r="AG47" s="782"/>
      <c r="AH47" s="782"/>
      <c r="AI47" s="782"/>
      <c r="AJ47" s="782"/>
      <c r="AK47" s="782"/>
      <c r="AL47" s="782"/>
      <c r="AM47" s="782"/>
      <c r="AN47" s="782"/>
      <c r="AO47" s="782"/>
      <c r="AP47" s="782"/>
      <c r="AQ47" s="782"/>
      <c r="AR47" s="782"/>
      <c r="AS47" s="782"/>
      <c r="AT47" s="782"/>
      <c r="AU47" s="782"/>
      <c r="AV47" s="782"/>
      <c r="AW47" s="782"/>
      <c r="AX47" s="782"/>
      <c r="AY47" s="782"/>
      <c r="AZ47" s="782"/>
      <c r="BA47" s="782"/>
      <c r="BB47" s="782"/>
      <c r="BC47" s="782"/>
      <c r="BD47" s="782"/>
      <c r="BE47" s="782"/>
      <c r="BF47" s="782"/>
      <c r="BG47" s="782"/>
      <c r="BH47" s="782"/>
      <c r="BI47" s="782"/>
      <c r="BJ47" s="782"/>
      <c r="BK47" s="782"/>
      <c r="BL47" s="782"/>
      <c r="BM47" s="782"/>
      <c r="BN47" s="782"/>
      <c r="BO47" s="782"/>
      <c r="BP47" s="782"/>
      <c r="BQ47" s="782"/>
      <c r="BR47" s="782"/>
      <c r="BS47" s="782"/>
      <c r="BT47" s="782"/>
      <c r="BU47" s="782"/>
      <c r="BV47" s="782"/>
      <c r="BW47" s="782"/>
      <c r="BX47" s="782"/>
      <c r="BY47" s="782"/>
      <c r="BZ47" s="782"/>
      <c r="CA47" s="782"/>
      <c r="CB47" s="782"/>
      <c r="CC47" s="782"/>
      <c r="CD47" s="782"/>
      <c r="CE47" s="782"/>
      <c r="CF47" s="782"/>
      <c r="CG47" s="782"/>
      <c r="CH47" s="782"/>
      <c r="CI47" s="782"/>
      <c r="CJ47" s="782"/>
      <c r="CK47" s="782"/>
      <c r="CL47" s="782"/>
      <c r="CM47" s="782"/>
      <c r="CN47" s="782"/>
      <c r="CO47" s="782"/>
      <c r="CP47" s="782"/>
      <c r="CQ47" s="782"/>
      <c r="CR47" s="782"/>
      <c r="CS47" s="782"/>
      <c r="CT47" s="782"/>
      <c r="CU47" s="782"/>
      <c r="CV47" s="782"/>
      <c r="CW47" s="782"/>
      <c r="CX47" s="782"/>
      <c r="CY47" s="782"/>
      <c r="CZ47" s="782"/>
      <c r="DA47" s="782"/>
      <c r="DB47" s="782"/>
      <c r="DC47" s="782"/>
      <c r="DD47" s="782"/>
      <c r="DE47" s="782"/>
      <c r="DF47" s="782"/>
      <c r="DG47" s="782"/>
      <c r="DH47" s="782"/>
      <c r="DI47" s="782"/>
      <c r="DJ47" s="782"/>
      <c r="DK47" s="782"/>
      <c r="DL47" s="782"/>
      <c r="DM47" s="782"/>
      <c r="DN47" s="782"/>
      <c r="DO47" s="782"/>
      <c r="DP47" s="782"/>
      <c r="DQ47" s="782"/>
      <c r="DR47" s="782"/>
      <c r="DS47" s="782"/>
      <c r="DT47" s="782"/>
      <c r="DU47" s="782"/>
      <c r="DV47" s="782"/>
      <c r="DW47" s="782"/>
      <c r="DX47" s="782"/>
      <c r="DY47" s="782"/>
      <c r="DZ47" s="782"/>
      <c r="EA47" s="782"/>
      <c r="EB47" s="782"/>
      <c r="EC47" s="782"/>
      <c r="ED47" s="782"/>
      <c r="EE47" s="782"/>
      <c r="EF47" s="782"/>
      <c r="EG47" s="782"/>
      <c r="EH47" s="782"/>
      <c r="EI47" s="782"/>
      <c r="EJ47" s="782"/>
      <c r="EK47" s="782"/>
      <c r="EL47" s="782"/>
      <c r="EM47" s="782"/>
      <c r="EN47" s="782"/>
      <c r="EO47" s="782"/>
      <c r="EP47" s="782"/>
      <c r="EQ47" s="782"/>
      <c r="ER47" s="782"/>
      <c r="ES47" s="782"/>
      <c r="ET47" s="782"/>
      <c r="EU47" s="782"/>
      <c r="EV47" s="782"/>
      <c r="EW47" s="782"/>
      <c r="EX47" s="782"/>
      <c r="EY47" s="782"/>
      <c r="EZ47" s="782"/>
      <c r="FA47" s="782"/>
      <c r="FB47" s="782"/>
      <c r="FC47" s="782"/>
      <c r="FD47" s="782"/>
      <c r="FE47" s="782"/>
      <c r="FF47" s="782"/>
      <c r="FG47" s="782"/>
      <c r="FH47" s="782"/>
      <c r="FI47" s="782"/>
      <c r="FJ47" s="782"/>
      <c r="FK47" s="782"/>
      <c r="FL47" s="782"/>
      <c r="FM47" s="782"/>
      <c r="FN47" s="782"/>
      <c r="FO47" s="782"/>
      <c r="FP47" s="782"/>
      <c r="FQ47" s="782"/>
      <c r="FR47" s="782"/>
      <c r="FS47" s="782"/>
      <c r="FT47" s="782"/>
      <c r="FU47" s="782"/>
      <c r="FV47" s="782"/>
      <c r="FW47" s="782"/>
      <c r="FX47" s="782"/>
      <c r="FY47" s="782"/>
      <c r="FZ47" s="782"/>
      <c r="GA47" s="782"/>
      <c r="GB47" s="782"/>
      <c r="GC47" s="782"/>
      <c r="GD47" s="782"/>
      <c r="GE47" s="782"/>
      <c r="GF47" s="782"/>
      <c r="GG47" s="782"/>
      <c r="GH47" s="782"/>
      <c r="GI47" s="782"/>
      <c r="GJ47" s="782"/>
      <c r="GK47" s="782"/>
      <c r="GL47" s="782"/>
      <c r="GM47" s="782"/>
      <c r="GN47" s="782"/>
      <c r="GO47" s="782"/>
      <c r="GP47" s="782"/>
      <c r="GQ47" s="782"/>
      <c r="GR47" s="782"/>
      <c r="GS47" s="782"/>
      <c r="GT47" s="782"/>
      <c r="GU47" s="782"/>
      <c r="GV47" s="782"/>
      <c r="GW47" s="782"/>
      <c r="GX47" s="782"/>
      <c r="GY47" s="782"/>
      <c r="GZ47" s="782"/>
      <c r="HA47" s="782"/>
      <c r="HB47" s="782"/>
      <c r="HC47" s="782"/>
      <c r="HD47" s="782"/>
      <c r="HE47" s="782"/>
      <c r="HF47" s="782"/>
      <c r="HG47" s="782"/>
      <c r="HH47" s="782"/>
      <c r="HI47" s="782"/>
      <c r="HJ47" s="782"/>
      <c r="HK47" s="782"/>
      <c r="HL47" s="782"/>
      <c r="HM47" s="782"/>
      <c r="HN47" s="782"/>
      <c r="HO47" s="782"/>
      <c r="HP47" s="782"/>
      <c r="HQ47" s="782"/>
      <c r="HR47" s="782"/>
      <c r="HS47" s="782"/>
      <c r="HT47" s="782"/>
      <c r="HU47" s="782"/>
      <c r="HV47" s="782"/>
      <c r="HW47" s="782"/>
      <c r="HX47" s="782"/>
      <c r="HY47" s="782"/>
      <c r="HZ47" s="782"/>
      <c r="IA47" s="782"/>
      <c r="IB47" s="782"/>
      <c r="IC47" s="782"/>
      <c r="ID47" s="782"/>
      <c r="IE47" s="782"/>
      <c r="IF47" s="782"/>
      <c r="IG47" s="782"/>
      <c r="IH47" s="782"/>
      <c r="II47" s="782"/>
      <c r="IJ47" s="782"/>
      <c r="IK47" s="782"/>
      <c r="IL47" s="782"/>
      <c r="IM47" s="782"/>
      <c r="IN47" s="782"/>
      <c r="IO47" s="782"/>
      <c r="IP47" s="782"/>
      <c r="IQ47" s="782"/>
      <c r="IR47" s="782"/>
      <c r="IS47" s="782"/>
      <c r="IT47" s="782"/>
      <c r="IU47" s="782"/>
      <c r="IV47" s="782"/>
      <c r="IW47" s="782"/>
      <c r="IX47" s="782"/>
      <c r="IY47" s="782"/>
      <c r="IZ47" s="782"/>
      <c r="JA47" s="782"/>
      <c r="JB47" s="782"/>
      <c r="JC47" s="782"/>
      <c r="JD47" s="782"/>
      <c r="JE47" s="782"/>
      <c r="JF47" s="782"/>
      <c r="JG47" s="782"/>
      <c r="JH47" s="782"/>
      <c r="JI47" s="782"/>
      <c r="JJ47" s="782"/>
      <c r="JK47" s="782"/>
      <c r="JL47" s="782"/>
      <c r="JM47" s="782"/>
      <c r="JN47" s="782"/>
      <c r="JO47" s="782"/>
      <c r="JP47" s="782"/>
      <c r="JQ47" s="782"/>
      <c r="JR47" s="782"/>
      <c r="JS47" s="782"/>
      <c r="JT47" s="782"/>
      <c r="JU47" s="782"/>
      <c r="JV47" s="782"/>
      <c r="JW47" s="782"/>
      <c r="JX47" s="782"/>
      <c r="JY47" s="782"/>
      <c r="JZ47" s="782"/>
      <c r="KA47" s="782"/>
      <c r="KB47" s="782"/>
      <c r="KC47" s="782"/>
      <c r="KD47" s="782"/>
      <c r="KE47" s="782"/>
      <c r="KF47" s="782"/>
      <c r="KG47" s="782"/>
      <c r="KH47" s="782"/>
      <c r="KI47" s="782"/>
      <c r="KJ47" s="782"/>
      <c r="KK47" s="782"/>
      <c r="KL47" s="782"/>
      <c r="KM47" s="782"/>
      <c r="KN47" s="782"/>
      <c r="KO47" s="782"/>
      <c r="KP47" s="782"/>
      <c r="KQ47" s="782"/>
      <c r="KR47" s="782"/>
      <c r="KS47" s="782"/>
      <c r="KT47" s="782"/>
      <c r="KU47" s="782"/>
      <c r="KV47" s="782"/>
      <c r="KW47" s="782"/>
      <c r="KX47" s="782"/>
      <c r="KY47" s="782"/>
      <c r="KZ47" s="782"/>
      <c r="LA47" s="782"/>
      <c r="LB47" s="782"/>
      <c r="LC47" s="782"/>
      <c r="LD47" s="782"/>
      <c r="LE47" s="782"/>
      <c r="LF47" s="782"/>
      <c r="LG47" s="782"/>
      <c r="LH47" s="782"/>
      <c r="LI47" s="782"/>
      <c r="LJ47" s="782"/>
      <c r="LK47" s="782"/>
      <c r="LL47" s="782"/>
      <c r="LM47" s="782"/>
      <c r="LN47" s="782"/>
      <c r="LO47" s="782"/>
      <c r="LP47" s="782"/>
      <c r="LQ47" s="782"/>
      <c r="LR47" s="782"/>
      <c r="LS47" s="782"/>
      <c r="LT47" s="782"/>
      <c r="LU47" s="782"/>
      <c r="LV47" s="782"/>
      <c r="LW47" s="782"/>
      <c r="LX47" s="782"/>
      <c r="LY47" s="782"/>
      <c r="LZ47" s="782"/>
      <c r="MA47" s="782"/>
      <c r="MB47" s="782"/>
      <c r="MC47" s="782"/>
      <c r="MD47" s="782"/>
      <c r="ME47" s="782"/>
      <c r="MF47" s="782"/>
      <c r="MG47" s="782"/>
      <c r="MH47" s="782"/>
      <c r="MI47" s="782"/>
      <c r="MJ47" s="782"/>
      <c r="MK47" s="782"/>
      <c r="ML47" s="782"/>
      <c r="MM47" s="782"/>
      <c r="MN47" s="782"/>
      <c r="MO47" s="782"/>
      <c r="MP47" s="782"/>
      <c r="MQ47" s="782"/>
      <c r="MR47" s="782"/>
      <c r="MS47" s="782"/>
      <c r="MT47" s="782"/>
      <c r="MU47" s="782"/>
      <c r="MV47" s="782"/>
      <c r="MW47" s="782"/>
      <c r="MX47" s="782"/>
      <c r="MY47" s="782"/>
      <c r="MZ47" s="782"/>
      <c r="NA47" s="782"/>
      <c r="NB47" s="782"/>
      <c r="NC47" s="782"/>
      <c r="ND47" s="782"/>
      <c r="NE47" s="782"/>
      <c r="NF47" s="782"/>
      <c r="NG47" s="782"/>
      <c r="NH47" s="782"/>
      <c r="NI47" s="782"/>
      <c r="NJ47" s="782"/>
      <c r="NK47" s="782"/>
      <c r="NL47" s="782"/>
      <c r="NM47" s="782"/>
      <c r="NN47" s="782"/>
      <c r="NO47" s="782"/>
      <c r="NP47" s="782"/>
      <c r="NQ47" s="782"/>
      <c r="NR47" s="782"/>
      <c r="NS47" s="782"/>
      <c r="NT47" s="782"/>
      <c r="NU47" s="782"/>
      <c r="NV47" s="782"/>
      <c r="NW47" s="782"/>
      <c r="NX47" s="782"/>
      <c r="NY47" s="782"/>
      <c r="NZ47" s="782"/>
      <c r="OA47" s="782"/>
      <c r="OB47" s="782"/>
      <c r="OC47" s="782"/>
      <c r="OD47" s="782"/>
      <c r="OE47" s="782"/>
      <c r="OF47" s="782"/>
      <c r="OG47" s="782"/>
      <c r="OH47" s="782"/>
      <c r="OI47" s="782"/>
      <c r="OJ47" s="782"/>
      <c r="OK47" s="782"/>
      <c r="OL47" s="782"/>
      <c r="OM47" s="782"/>
      <c r="ON47" s="782"/>
      <c r="OO47" s="782"/>
      <c r="OP47" s="782"/>
      <c r="OQ47" s="782"/>
      <c r="OR47" s="782"/>
      <c r="OS47" s="782"/>
      <c r="OT47" s="782"/>
      <c r="OU47" s="782"/>
      <c r="OV47" s="782"/>
      <c r="OW47" s="782"/>
      <c r="OX47" s="782"/>
      <c r="OY47" s="782"/>
      <c r="OZ47" s="782"/>
      <c r="PA47" s="782"/>
      <c r="PB47" s="782"/>
      <c r="PC47" s="782"/>
      <c r="PD47" s="782"/>
      <c r="PE47" s="782"/>
      <c r="PF47" s="782"/>
      <c r="PG47" s="782"/>
      <c r="PH47" s="782"/>
      <c r="PI47" s="782"/>
      <c r="PJ47" s="782"/>
      <c r="PK47" s="782"/>
      <c r="PL47" s="782"/>
      <c r="PM47" s="782"/>
      <c r="PN47" s="782"/>
      <c r="PO47" s="782"/>
    </row>
    <row r="48" spans="1:431" s="143" customFormat="1">
      <c r="C48" s="785"/>
      <c r="D48" s="785"/>
      <c r="E48" s="785"/>
      <c r="F48" s="785"/>
      <c r="G48" s="785"/>
      <c r="H48" s="785"/>
      <c r="I48" s="785"/>
      <c r="J48" s="785"/>
      <c r="K48" s="785"/>
      <c r="L48" s="785"/>
    </row>
    <row r="49" spans="3:12" s="143" customFormat="1">
      <c r="C49" s="785"/>
      <c r="D49" s="785"/>
      <c r="E49" s="785"/>
      <c r="F49" s="785"/>
      <c r="G49" s="785"/>
      <c r="H49" s="785"/>
      <c r="I49" s="785"/>
      <c r="J49" s="785"/>
      <c r="K49" s="785"/>
      <c r="L49" s="785"/>
    </row>
    <row r="50" spans="3:12" s="143" customFormat="1">
      <c r="C50" s="785"/>
      <c r="D50" s="785"/>
      <c r="E50" s="785"/>
      <c r="F50" s="785"/>
      <c r="G50" s="785"/>
      <c r="H50" s="785"/>
      <c r="I50" s="785"/>
      <c r="J50" s="785"/>
      <c r="K50" s="785"/>
      <c r="L50" s="785"/>
    </row>
    <row r="51" spans="3:12" s="143" customFormat="1">
      <c r="C51" s="785"/>
      <c r="D51" s="785"/>
      <c r="E51" s="785"/>
      <c r="F51" s="785"/>
      <c r="G51" s="785"/>
      <c r="H51" s="785"/>
      <c r="I51" s="785"/>
      <c r="J51" s="785"/>
      <c r="K51" s="785"/>
      <c r="L51" s="785"/>
    </row>
    <row r="52" spans="3:12" s="143" customFormat="1">
      <c r="C52" s="785"/>
      <c r="D52" s="785"/>
      <c r="E52" s="785"/>
      <c r="F52" s="785"/>
      <c r="G52" s="785"/>
      <c r="H52" s="785"/>
      <c r="I52" s="785"/>
      <c r="J52" s="785"/>
      <c r="K52" s="785"/>
      <c r="L52" s="785"/>
    </row>
    <row r="53" spans="3:12" s="143" customFormat="1">
      <c r="C53" s="785"/>
      <c r="D53" s="785"/>
      <c r="E53" s="785"/>
      <c r="F53" s="785"/>
      <c r="G53" s="785"/>
      <c r="H53" s="785"/>
      <c r="I53" s="785"/>
      <c r="J53" s="785"/>
      <c r="K53" s="785"/>
      <c r="L53" s="785"/>
    </row>
    <row r="54" spans="3:12" s="143" customFormat="1">
      <c r="C54" s="785"/>
      <c r="D54" s="785"/>
      <c r="E54" s="785"/>
      <c r="F54" s="785"/>
      <c r="G54" s="785"/>
      <c r="H54" s="785"/>
      <c r="I54" s="785"/>
      <c r="J54" s="785"/>
      <c r="K54" s="785"/>
      <c r="L54" s="785"/>
    </row>
    <row r="55" spans="3:12" s="143" customFormat="1">
      <c r="C55" s="785"/>
      <c r="D55" s="785"/>
      <c r="E55" s="785"/>
      <c r="F55" s="785"/>
      <c r="G55" s="785"/>
      <c r="H55" s="785"/>
      <c r="I55" s="785"/>
      <c r="J55" s="785"/>
      <c r="K55" s="785"/>
      <c r="L55" s="785"/>
    </row>
    <row r="56" spans="3:12" s="143" customFormat="1">
      <c r="C56" s="785"/>
      <c r="D56" s="785"/>
      <c r="E56" s="785"/>
      <c r="F56" s="785"/>
      <c r="G56" s="785"/>
      <c r="H56" s="785"/>
      <c r="I56" s="785"/>
      <c r="J56" s="785"/>
      <c r="K56" s="785"/>
      <c r="L56" s="785"/>
    </row>
    <row r="57" spans="3:12" s="143" customFormat="1">
      <c r="C57" s="785"/>
      <c r="D57" s="785"/>
      <c r="E57" s="785"/>
      <c r="F57" s="785"/>
      <c r="G57" s="785"/>
      <c r="H57" s="785"/>
      <c r="I57" s="785"/>
      <c r="J57" s="785"/>
      <c r="K57" s="785"/>
      <c r="L57" s="785"/>
    </row>
    <row r="58" spans="3:12" s="143" customFormat="1">
      <c r="C58" s="785"/>
      <c r="D58" s="785"/>
      <c r="E58" s="785"/>
      <c r="F58" s="785"/>
      <c r="G58" s="785"/>
      <c r="H58" s="785"/>
      <c r="I58" s="785"/>
      <c r="J58" s="785"/>
      <c r="K58" s="785"/>
      <c r="L58" s="785"/>
    </row>
    <row r="59" spans="3:12" s="143" customFormat="1">
      <c r="C59" s="785"/>
      <c r="D59" s="785"/>
      <c r="E59" s="785"/>
      <c r="F59" s="785"/>
      <c r="G59" s="785"/>
      <c r="H59" s="785"/>
      <c r="I59" s="785"/>
      <c r="J59" s="785"/>
      <c r="K59" s="785"/>
      <c r="L59" s="785"/>
    </row>
    <row r="60" spans="3:12" s="143" customFormat="1">
      <c r="C60" s="785"/>
      <c r="D60" s="785"/>
      <c r="E60" s="785"/>
      <c r="F60" s="785"/>
      <c r="G60" s="785"/>
      <c r="H60" s="785"/>
      <c r="I60" s="785"/>
      <c r="J60" s="785"/>
      <c r="K60" s="785"/>
      <c r="L60" s="785"/>
    </row>
    <row r="61" spans="3:12" s="143" customFormat="1">
      <c r="C61" s="785"/>
      <c r="D61" s="785"/>
      <c r="E61" s="785"/>
      <c r="F61" s="785"/>
      <c r="G61" s="785"/>
      <c r="H61" s="785"/>
      <c r="I61" s="785"/>
      <c r="J61" s="785"/>
      <c r="K61" s="785"/>
      <c r="L61" s="785"/>
    </row>
    <row r="62" spans="3:12" s="143" customFormat="1">
      <c r="C62" s="785"/>
      <c r="D62" s="785"/>
      <c r="E62" s="785"/>
      <c r="F62" s="785"/>
      <c r="G62" s="785"/>
      <c r="H62" s="785"/>
      <c r="I62" s="785"/>
      <c r="J62" s="785"/>
      <c r="K62" s="785"/>
      <c r="L62" s="785"/>
    </row>
    <row r="63" spans="3:12" s="143" customFormat="1">
      <c r="C63" s="785"/>
      <c r="D63" s="785"/>
      <c r="E63" s="785"/>
      <c r="F63" s="785"/>
      <c r="G63" s="785"/>
      <c r="H63" s="785"/>
      <c r="I63" s="785"/>
      <c r="J63" s="785"/>
      <c r="K63" s="785"/>
      <c r="L63" s="785"/>
    </row>
    <row r="64" spans="3:12" s="143" customFormat="1">
      <c r="C64" s="785"/>
      <c r="D64" s="785"/>
      <c r="E64" s="785"/>
      <c r="F64" s="785"/>
      <c r="G64" s="785"/>
      <c r="H64" s="785"/>
      <c r="I64" s="785"/>
      <c r="J64" s="785"/>
      <c r="K64" s="785"/>
      <c r="L64" s="785"/>
    </row>
    <row r="65" spans="3:12" s="143" customFormat="1">
      <c r="C65" s="785"/>
      <c r="D65" s="785"/>
      <c r="E65" s="785"/>
      <c r="F65" s="785"/>
      <c r="G65" s="785"/>
      <c r="H65" s="785"/>
      <c r="I65" s="785"/>
      <c r="J65" s="785"/>
      <c r="K65" s="785"/>
      <c r="L65" s="785"/>
    </row>
    <row r="66" spans="3:12" s="143" customFormat="1">
      <c r="C66" s="785"/>
      <c r="D66" s="785"/>
      <c r="E66" s="785"/>
      <c r="F66" s="785"/>
      <c r="G66" s="785"/>
      <c r="H66" s="785"/>
      <c r="I66" s="785"/>
      <c r="J66" s="785"/>
      <c r="K66" s="785"/>
      <c r="L66" s="785"/>
    </row>
    <row r="67" spans="3:12" s="143" customFormat="1">
      <c r="C67" s="785"/>
      <c r="D67" s="785"/>
      <c r="E67" s="785"/>
      <c r="F67" s="785"/>
      <c r="G67" s="785"/>
      <c r="H67" s="785"/>
      <c r="I67" s="785"/>
      <c r="J67" s="785"/>
      <c r="K67" s="785"/>
      <c r="L67" s="785"/>
    </row>
    <row r="68" spans="3:12" s="143" customFormat="1">
      <c r="C68" s="785"/>
      <c r="D68" s="785"/>
      <c r="E68" s="785"/>
      <c r="F68" s="785"/>
      <c r="G68" s="785"/>
      <c r="H68" s="785"/>
      <c r="I68" s="785"/>
      <c r="J68" s="785"/>
      <c r="K68" s="785"/>
      <c r="L68" s="785"/>
    </row>
    <row r="69" spans="3:12" s="143" customFormat="1">
      <c r="C69" s="785"/>
      <c r="D69" s="785"/>
      <c r="E69" s="785"/>
      <c r="F69" s="785"/>
      <c r="G69" s="785"/>
      <c r="H69" s="785"/>
      <c r="I69" s="785"/>
      <c r="J69" s="785"/>
      <c r="K69" s="785"/>
      <c r="L69" s="785"/>
    </row>
    <row r="70" spans="3:12" s="143" customFormat="1">
      <c r="C70" s="785"/>
      <c r="D70" s="785"/>
      <c r="E70" s="785"/>
      <c r="F70" s="785"/>
      <c r="G70" s="785"/>
      <c r="H70" s="785"/>
      <c r="I70" s="785"/>
      <c r="J70" s="785"/>
      <c r="K70" s="785"/>
      <c r="L70" s="785"/>
    </row>
    <row r="71" spans="3:12" s="143" customFormat="1">
      <c r="C71" s="785"/>
      <c r="D71" s="785"/>
      <c r="E71" s="785"/>
      <c r="F71" s="785"/>
      <c r="G71" s="785"/>
      <c r="H71" s="785"/>
      <c r="I71" s="785"/>
      <c r="J71" s="785"/>
      <c r="K71" s="785"/>
      <c r="L71" s="785"/>
    </row>
    <row r="72" spans="3:12" s="143" customFormat="1">
      <c r="C72" s="785"/>
      <c r="D72" s="785"/>
      <c r="E72" s="785"/>
      <c r="F72" s="785"/>
      <c r="G72" s="785"/>
      <c r="H72" s="785"/>
      <c r="I72" s="785"/>
      <c r="J72" s="785"/>
      <c r="K72" s="785"/>
      <c r="L72" s="785"/>
    </row>
    <row r="73" spans="3:12" s="143" customFormat="1">
      <c r="C73" s="785"/>
      <c r="D73" s="785"/>
      <c r="E73" s="785"/>
      <c r="F73" s="785"/>
      <c r="G73" s="785"/>
      <c r="H73" s="785"/>
      <c r="I73" s="785"/>
      <c r="J73" s="785"/>
      <c r="K73" s="785"/>
      <c r="L73" s="785"/>
    </row>
    <row r="74" spans="3:12" s="143" customFormat="1">
      <c r="C74" s="785"/>
      <c r="D74" s="785"/>
      <c r="E74" s="785"/>
      <c r="F74" s="785"/>
      <c r="G74" s="785"/>
      <c r="H74" s="785"/>
      <c r="I74" s="785"/>
      <c r="J74" s="785"/>
      <c r="K74" s="785"/>
      <c r="L74" s="785"/>
    </row>
    <row r="75" spans="3:12" s="143" customFormat="1">
      <c r="C75" s="785"/>
      <c r="D75" s="785"/>
      <c r="E75" s="785"/>
      <c r="F75" s="785"/>
      <c r="G75" s="785"/>
      <c r="H75" s="785"/>
      <c r="I75" s="785"/>
      <c r="J75" s="785"/>
      <c r="K75" s="785"/>
      <c r="L75" s="785"/>
    </row>
    <row r="76" spans="3:12" s="143" customFormat="1">
      <c r="C76" s="785"/>
      <c r="D76" s="785"/>
      <c r="E76" s="785"/>
      <c r="F76" s="785"/>
      <c r="G76" s="785"/>
      <c r="H76" s="785"/>
      <c r="I76" s="785"/>
      <c r="J76" s="785"/>
      <c r="K76" s="785"/>
      <c r="L76" s="785"/>
    </row>
    <row r="77" spans="3:12" s="143" customFormat="1">
      <c r="C77" s="785"/>
      <c r="D77" s="785"/>
      <c r="E77" s="785"/>
      <c r="F77" s="785"/>
      <c r="G77" s="785"/>
      <c r="H77" s="785"/>
      <c r="I77" s="785"/>
      <c r="J77" s="785"/>
      <c r="K77" s="785"/>
      <c r="L77" s="785"/>
    </row>
    <row r="78" spans="3:12" s="143" customFormat="1">
      <c r="C78" s="785"/>
      <c r="D78" s="785"/>
      <c r="E78" s="785"/>
      <c r="F78" s="785"/>
      <c r="G78" s="785"/>
      <c r="H78" s="785"/>
      <c r="I78" s="785"/>
      <c r="J78" s="785"/>
      <c r="K78" s="785"/>
      <c r="L78" s="785"/>
    </row>
    <row r="79" spans="3:12" s="143" customFormat="1">
      <c r="C79" s="785"/>
      <c r="D79" s="785"/>
      <c r="E79" s="785"/>
      <c r="F79" s="785"/>
      <c r="G79" s="785"/>
      <c r="H79" s="785"/>
      <c r="I79" s="785"/>
      <c r="J79" s="785"/>
      <c r="K79" s="785"/>
      <c r="L79" s="785"/>
    </row>
    <row r="80" spans="3:12" s="143" customFormat="1">
      <c r="C80" s="785"/>
      <c r="D80" s="785"/>
      <c r="E80" s="785"/>
      <c r="F80" s="785"/>
      <c r="G80" s="785"/>
      <c r="H80" s="785"/>
      <c r="I80" s="785"/>
      <c r="J80" s="785"/>
      <c r="K80" s="785"/>
      <c r="L80" s="785"/>
    </row>
    <row r="81" spans="3:12" s="143" customFormat="1">
      <c r="C81" s="785"/>
      <c r="D81" s="785"/>
      <c r="E81" s="785"/>
      <c r="F81" s="785"/>
      <c r="G81" s="785"/>
      <c r="H81" s="785"/>
      <c r="I81" s="785"/>
      <c r="J81" s="785"/>
      <c r="K81" s="785"/>
      <c r="L81" s="785"/>
    </row>
    <row r="82" spans="3:12" s="143" customFormat="1">
      <c r="C82" s="785"/>
      <c r="D82" s="785"/>
      <c r="E82" s="785"/>
      <c r="F82" s="785"/>
      <c r="G82" s="785"/>
      <c r="H82" s="785"/>
      <c r="I82" s="785"/>
      <c r="J82" s="785"/>
      <c r="K82" s="785"/>
      <c r="L82" s="785"/>
    </row>
    <row r="83" spans="3:12" s="143" customFormat="1">
      <c r="C83" s="785"/>
      <c r="D83" s="785"/>
      <c r="E83" s="785"/>
      <c r="F83" s="785"/>
      <c r="G83" s="785"/>
      <c r="H83" s="785"/>
      <c r="I83" s="785"/>
      <c r="J83" s="785"/>
      <c r="K83" s="785"/>
      <c r="L83" s="785"/>
    </row>
    <row r="84" spans="3:12" s="143" customFormat="1">
      <c r="C84" s="785"/>
      <c r="D84" s="785"/>
      <c r="E84" s="785"/>
      <c r="F84" s="785"/>
      <c r="G84" s="785"/>
      <c r="H84" s="785"/>
      <c r="I84" s="785"/>
      <c r="J84" s="785"/>
      <c r="K84" s="785"/>
      <c r="L84" s="785"/>
    </row>
    <row r="85" spans="3:12" s="143" customFormat="1">
      <c r="C85" s="785"/>
      <c r="D85" s="785"/>
      <c r="E85" s="785"/>
      <c r="F85" s="785"/>
      <c r="G85" s="785"/>
      <c r="H85" s="785"/>
      <c r="I85" s="785"/>
      <c r="J85" s="785"/>
      <c r="K85" s="785"/>
      <c r="L85" s="785"/>
    </row>
    <row r="86" spans="3:12" s="143" customFormat="1">
      <c r="C86" s="785"/>
      <c r="D86" s="785"/>
      <c r="E86" s="785"/>
      <c r="F86" s="785"/>
      <c r="G86" s="785"/>
      <c r="H86" s="785"/>
      <c r="I86" s="785"/>
      <c r="J86" s="785"/>
      <c r="K86" s="785"/>
      <c r="L86" s="785"/>
    </row>
    <row r="87" spans="3:12" s="143" customFormat="1">
      <c r="C87" s="785"/>
      <c r="D87" s="785"/>
      <c r="E87" s="785"/>
      <c r="F87" s="785"/>
      <c r="G87" s="785"/>
      <c r="H87" s="785"/>
      <c r="I87" s="785"/>
      <c r="J87" s="785"/>
      <c r="K87" s="785"/>
      <c r="L87" s="785"/>
    </row>
    <row r="88" spans="3:12" s="143" customFormat="1">
      <c r="C88" s="785"/>
      <c r="D88" s="785"/>
      <c r="E88" s="785"/>
      <c r="F88" s="785"/>
      <c r="G88" s="785"/>
      <c r="H88" s="785"/>
      <c r="I88" s="785"/>
      <c r="J88" s="785"/>
      <c r="K88" s="785"/>
      <c r="L88" s="785"/>
    </row>
    <row r="89" spans="3:12" s="143" customFormat="1">
      <c r="C89" s="785"/>
      <c r="D89" s="785"/>
      <c r="E89" s="785"/>
      <c r="F89" s="785"/>
      <c r="G89" s="785"/>
      <c r="H89" s="785"/>
      <c r="I89" s="785"/>
      <c r="J89" s="785"/>
      <c r="K89" s="785"/>
      <c r="L89" s="785"/>
    </row>
    <row r="90" spans="3:12" s="143" customFormat="1">
      <c r="C90" s="785"/>
      <c r="D90" s="785"/>
      <c r="E90" s="785"/>
      <c r="F90" s="785"/>
      <c r="G90" s="785"/>
      <c r="H90" s="785"/>
      <c r="I90" s="785"/>
      <c r="J90" s="785"/>
      <c r="K90" s="785"/>
      <c r="L90" s="785"/>
    </row>
    <row r="91" spans="3:12" s="143" customFormat="1">
      <c r="C91" s="785"/>
      <c r="D91" s="785"/>
      <c r="E91" s="785"/>
      <c r="F91" s="785"/>
      <c r="G91" s="785"/>
      <c r="H91" s="785"/>
      <c r="I91" s="785"/>
      <c r="J91" s="785"/>
      <c r="K91" s="785"/>
      <c r="L91" s="785"/>
    </row>
    <row r="92" spans="3:12" s="143" customFormat="1">
      <c r="C92" s="785"/>
      <c r="D92" s="785"/>
      <c r="E92" s="785"/>
      <c r="F92" s="785"/>
      <c r="G92" s="785"/>
      <c r="H92" s="785"/>
      <c r="I92" s="785"/>
      <c r="J92" s="785"/>
      <c r="K92" s="785"/>
      <c r="L92" s="785"/>
    </row>
    <row r="93" spans="3:12" s="143" customFormat="1">
      <c r="C93" s="785"/>
      <c r="D93" s="785"/>
      <c r="E93" s="785"/>
      <c r="F93" s="785"/>
      <c r="G93" s="785"/>
      <c r="H93" s="785"/>
      <c r="I93" s="785"/>
      <c r="J93" s="785"/>
      <c r="K93" s="785"/>
      <c r="L93" s="785"/>
    </row>
    <row r="94" spans="3:12" s="143" customFormat="1">
      <c r="C94" s="785"/>
      <c r="D94" s="785"/>
      <c r="E94" s="785"/>
      <c r="F94" s="785"/>
      <c r="G94" s="785"/>
      <c r="H94" s="785"/>
      <c r="I94" s="785"/>
      <c r="J94" s="785"/>
      <c r="K94" s="785"/>
      <c r="L94" s="785"/>
    </row>
    <row r="95" spans="3:12" s="143" customFormat="1">
      <c r="C95" s="785"/>
      <c r="D95" s="785"/>
      <c r="E95" s="785"/>
      <c r="F95" s="785"/>
      <c r="G95" s="785"/>
      <c r="H95" s="785"/>
      <c r="I95" s="785"/>
      <c r="J95" s="785"/>
      <c r="K95" s="785"/>
      <c r="L95" s="785"/>
    </row>
    <row r="96" spans="3:12" s="143" customFormat="1">
      <c r="C96" s="785"/>
      <c r="D96" s="785"/>
      <c r="E96" s="785"/>
      <c r="F96" s="785"/>
      <c r="G96" s="785"/>
      <c r="H96" s="785"/>
      <c r="I96" s="785"/>
      <c r="J96" s="785"/>
      <c r="K96" s="785"/>
      <c r="L96" s="785"/>
    </row>
    <row r="97" spans="3:12" s="143" customFormat="1">
      <c r="C97" s="785"/>
      <c r="D97" s="785"/>
      <c r="E97" s="785"/>
      <c r="F97" s="785"/>
      <c r="G97" s="785"/>
      <c r="H97" s="785"/>
      <c r="I97" s="785"/>
      <c r="J97" s="785"/>
      <c r="K97" s="785"/>
      <c r="L97" s="785"/>
    </row>
    <row r="98" spans="3:12" s="143" customFormat="1">
      <c r="C98" s="785"/>
      <c r="D98" s="785"/>
      <c r="E98" s="785"/>
      <c r="F98" s="785"/>
      <c r="G98" s="785"/>
      <c r="H98" s="785"/>
      <c r="I98" s="785"/>
      <c r="J98" s="785"/>
      <c r="K98" s="785"/>
      <c r="L98" s="785"/>
    </row>
    <row r="99" spans="3:12" s="143" customFormat="1">
      <c r="C99" s="785"/>
      <c r="D99" s="785"/>
      <c r="E99" s="785"/>
      <c r="F99" s="785"/>
      <c r="G99" s="785"/>
      <c r="H99" s="785"/>
      <c r="I99" s="785"/>
      <c r="J99" s="785"/>
      <c r="K99" s="785"/>
      <c r="L99" s="785"/>
    </row>
    <row r="100" spans="3:12" s="143" customFormat="1">
      <c r="C100" s="785"/>
      <c r="D100" s="785"/>
      <c r="E100" s="785"/>
      <c r="F100" s="785"/>
      <c r="G100" s="785"/>
      <c r="H100" s="785"/>
      <c r="I100" s="785"/>
      <c r="J100" s="785"/>
      <c r="K100" s="785"/>
      <c r="L100" s="785"/>
    </row>
    <row r="101" spans="3:12" s="143" customFormat="1">
      <c r="C101" s="785"/>
      <c r="D101" s="785"/>
      <c r="E101" s="785"/>
      <c r="F101" s="785"/>
      <c r="G101" s="785"/>
      <c r="H101" s="785"/>
      <c r="I101" s="785"/>
      <c r="J101" s="785"/>
      <c r="K101" s="785"/>
      <c r="L101" s="785"/>
    </row>
    <row r="102" spans="3:12" s="143" customFormat="1">
      <c r="C102" s="785"/>
      <c r="D102" s="785"/>
      <c r="E102" s="785"/>
      <c r="F102" s="785"/>
      <c r="G102" s="785"/>
      <c r="H102" s="785"/>
      <c r="I102" s="785"/>
      <c r="J102" s="785"/>
      <c r="K102" s="785"/>
      <c r="L102" s="785"/>
    </row>
    <row r="103" spans="3:12" s="143" customFormat="1">
      <c r="C103" s="785"/>
      <c r="D103" s="785"/>
      <c r="E103" s="785"/>
      <c r="F103" s="785"/>
      <c r="G103" s="785"/>
      <c r="H103" s="785"/>
      <c r="I103" s="785"/>
      <c r="J103" s="785"/>
      <c r="K103" s="785"/>
      <c r="L103" s="785"/>
    </row>
    <row r="104" spans="3:12" s="143" customFormat="1">
      <c r="C104" s="785"/>
      <c r="D104" s="785"/>
      <c r="E104" s="785"/>
      <c r="F104" s="785"/>
      <c r="G104" s="785"/>
      <c r="H104" s="785"/>
      <c r="I104" s="785"/>
      <c r="J104" s="785"/>
      <c r="K104" s="785"/>
      <c r="L104" s="785"/>
    </row>
    <row r="105" spans="3:12" s="143" customFormat="1">
      <c r="C105" s="785"/>
      <c r="D105" s="785"/>
      <c r="E105" s="785"/>
      <c r="F105" s="785"/>
      <c r="G105" s="785"/>
      <c r="H105" s="785"/>
      <c r="I105" s="785"/>
      <c r="J105" s="785"/>
      <c r="K105" s="785"/>
      <c r="L105" s="785"/>
    </row>
    <row r="106" spans="3:12" s="143" customFormat="1">
      <c r="C106" s="785"/>
      <c r="D106" s="785"/>
      <c r="E106" s="785"/>
      <c r="F106" s="785"/>
      <c r="G106" s="785"/>
      <c r="H106" s="785"/>
      <c r="I106" s="785"/>
      <c r="J106" s="785"/>
      <c r="K106" s="785"/>
      <c r="L106" s="785"/>
    </row>
    <row r="107" spans="3:12" s="143" customFormat="1">
      <c r="C107" s="785"/>
      <c r="D107" s="785"/>
      <c r="E107" s="785"/>
      <c r="F107" s="785"/>
      <c r="G107" s="785"/>
      <c r="H107" s="785"/>
      <c r="I107" s="785"/>
      <c r="J107" s="785"/>
      <c r="K107" s="785"/>
      <c r="L107" s="785"/>
    </row>
    <row r="108" spans="3:12" s="143" customFormat="1">
      <c r="C108" s="785"/>
      <c r="D108" s="785"/>
      <c r="E108" s="785"/>
      <c r="F108" s="785"/>
      <c r="G108" s="785"/>
      <c r="H108" s="785"/>
      <c r="I108" s="785"/>
      <c r="J108" s="785"/>
      <c r="K108" s="785"/>
      <c r="L108" s="785"/>
    </row>
    <row r="109" spans="3:12" s="143" customFormat="1">
      <c r="C109" s="785"/>
      <c r="D109" s="785"/>
      <c r="E109" s="785"/>
      <c r="F109" s="785"/>
      <c r="G109" s="785"/>
      <c r="H109" s="785"/>
      <c r="I109" s="785"/>
      <c r="J109" s="785"/>
      <c r="K109" s="785"/>
      <c r="L109" s="785"/>
    </row>
    <row r="110" spans="3:12" s="143" customFormat="1">
      <c r="C110" s="785"/>
      <c r="D110" s="785"/>
      <c r="E110" s="785"/>
      <c r="F110" s="785"/>
      <c r="G110" s="785"/>
      <c r="H110" s="785"/>
      <c r="I110" s="785"/>
      <c r="J110" s="785"/>
      <c r="K110" s="785"/>
      <c r="L110" s="785"/>
    </row>
    <row r="111" spans="3:12" s="143" customFormat="1">
      <c r="C111" s="785"/>
      <c r="D111" s="785"/>
      <c r="E111" s="785"/>
      <c r="F111" s="785"/>
      <c r="G111" s="785"/>
      <c r="H111" s="785"/>
      <c r="I111" s="785"/>
      <c r="J111" s="785"/>
      <c r="K111" s="785"/>
      <c r="L111" s="785"/>
    </row>
    <row r="112" spans="3:12" s="143" customFormat="1">
      <c r="C112" s="785"/>
      <c r="D112" s="785"/>
      <c r="E112" s="785"/>
      <c r="F112" s="785"/>
      <c r="G112" s="785"/>
      <c r="H112" s="785"/>
      <c r="I112" s="785"/>
      <c r="J112" s="785"/>
      <c r="K112" s="785"/>
      <c r="L112" s="785"/>
    </row>
    <row r="113" spans="3:12" s="143" customFormat="1">
      <c r="C113" s="785"/>
      <c r="D113" s="785"/>
      <c r="E113" s="785"/>
      <c r="F113" s="785"/>
      <c r="G113" s="785"/>
      <c r="H113" s="785"/>
      <c r="I113" s="785"/>
      <c r="J113" s="785"/>
      <c r="K113" s="785"/>
      <c r="L113" s="785"/>
    </row>
    <row r="114" spans="3:12" s="143" customFormat="1">
      <c r="C114" s="785"/>
      <c r="D114" s="785"/>
      <c r="E114" s="785"/>
      <c r="F114" s="785"/>
      <c r="G114" s="785"/>
      <c r="H114" s="785"/>
      <c r="I114" s="785"/>
      <c r="J114" s="785"/>
      <c r="K114" s="785"/>
      <c r="L114" s="785"/>
    </row>
    <row r="115" spans="3:12" s="143" customFormat="1">
      <c r="C115" s="785"/>
      <c r="D115" s="785"/>
      <c r="E115" s="785"/>
      <c r="F115" s="785"/>
      <c r="G115" s="785"/>
      <c r="H115" s="785"/>
      <c r="I115" s="785"/>
      <c r="J115" s="785"/>
      <c r="K115" s="785"/>
      <c r="L115" s="785"/>
    </row>
    <row r="116" spans="3:12" s="143" customFormat="1">
      <c r="C116" s="785"/>
      <c r="D116" s="785"/>
      <c r="E116" s="785"/>
      <c r="F116" s="785"/>
      <c r="G116" s="785"/>
      <c r="H116" s="785"/>
      <c r="I116" s="785"/>
      <c r="J116" s="785"/>
      <c r="K116" s="785"/>
      <c r="L116" s="785"/>
    </row>
    <row r="117" spans="3:12" s="143" customFormat="1">
      <c r="C117" s="785"/>
      <c r="D117" s="785"/>
      <c r="E117" s="785"/>
      <c r="F117" s="785"/>
      <c r="G117" s="785"/>
      <c r="H117" s="785"/>
      <c r="I117" s="785"/>
      <c r="J117" s="785"/>
      <c r="K117" s="785"/>
      <c r="L117" s="785"/>
    </row>
    <row r="118" spans="3:12" s="143" customFormat="1">
      <c r="C118" s="785"/>
      <c r="D118" s="785"/>
      <c r="E118" s="785"/>
      <c r="F118" s="785"/>
      <c r="G118" s="785"/>
      <c r="H118" s="785"/>
      <c r="I118" s="785"/>
      <c r="J118" s="785"/>
      <c r="K118" s="785"/>
      <c r="L118" s="785"/>
    </row>
    <row r="119" spans="3:12" s="143" customFormat="1">
      <c r="C119" s="785"/>
      <c r="D119" s="785"/>
      <c r="E119" s="785"/>
      <c r="F119" s="785"/>
      <c r="G119" s="785"/>
      <c r="H119" s="785"/>
      <c r="I119" s="785"/>
      <c r="J119" s="785"/>
      <c r="K119" s="785"/>
      <c r="L119" s="785"/>
    </row>
    <row r="120" spans="3:12" s="143" customFormat="1">
      <c r="C120" s="785"/>
      <c r="D120" s="785"/>
      <c r="E120" s="785"/>
      <c r="F120" s="785"/>
      <c r="G120" s="785"/>
      <c r="H120" s="785"/>
      <c r="I120" s="785"/>
      <c r="J120" s="785"/>
      <c r="K120" s="785"/>
      <c r="L120" s="785"/>
    </row>
    <row r="121" spans="3:12" s="143" customFormat="1">
      <c r="C121" s="785"/>
      <c r="D121" s="785"/>
      <c r="E121" s="785"/>
      <c r="F121" s="785"/>
      <c r="G121" s="785"/>
      <c r="H121" s="785"/>
      <c r="I121" s="785"/>
      <c r="J121" s="785"/>
      <c r="K121" s="785"/>
      <c r="L121" s="785"/>
    </row>
    <row r="122" spans="3:12" s="143" customFormat="1">
      <c r="C122" s="785"/>
      <c r="D122" s="785"/>
      <c r="E122" s="785"/>
      <c r="F122" s="785"/>
      <c r="G122" s="785"/>
      <c r="H122" s="785"/>
      <c r="I122" s="785"/>
      <c r="J122" s="785"/>
      <c r="K122" s="785"/>
      <c r="L122" s="785"/>
    </row>
    <row r="123" spans="3:12" s="143" customFormat="1">
      <c r="C123" s="785"/>
      <c r="D123" s="785"/>
      <c r="E123" s="785"/>
      <c r="F123" s="785"/>
      <c r="G123" s="785"/>
      <c r="H123" s="785"/>
      <c r="I123" s="785"/>
      <c r="J123" s="785"/>
      <c r="K123" s="785"/>
      <c r="L123" s="785"/>
    </row>
    <row r="124" spans="3:12" s="143" customFormat="1">
      <c r="C124" s="785"/>
      <c r="D124" s="785"/>
      <c r="E124" s="785"/>
      <c r="F124" s="785"/>
      <c r="G124" s="785"/>
      <c r="H124" s="785"/>
      <c r="I124" s="785"/>
      <c r="J124" s="785"/>
      <c r="K124" s="785"/>
      <c r="L124" s="785"/>
    </row>
    <row r="125" spans="3:12" s="143" customFormat="1">
      <c r="C125" s="785"/>
      <c r="D125" s="785"/>
      <c r="E125" s="785"/>
      <c r="F125" s="785"/>
      <c r="G125" s="785"/>
      <c r="H125" s="785"/>
      <c r="I125" s="785"/>
      <c r="J125" s="785"/>
      <c r="K125" s="785"/>
      <c r="L125" s="785"/>
    </row>
    <row r="126" spans="3:12" s="143" customFormat="1">
      <c r="C126" s="785"/>
      <c r="D126" s="785"/>
      <c r="E126" s="785"/>
      <c r="F126" s="785"/>
      <c r="G126" s="785"/>
      <c r="H126" s="785"/>
      <c r="I126" s="785"/>
      <c r="J126" s="785"/>
      <c r="K126" s="785"/>
      <c r="L126" s="785"/>
    </row>
    <row r="127" spans="3:12" s="143" customFormat="1">
      <c r="C127" s="785"/>
      <c r="D127" s="785"/>
      <c r="E127" s="785"/>
      <c r="F127" s="785"/>
      <c r="G127" s="785"/>
      <c r="H127" s="785"/>
      <c r="I127" s="785"/>
      <c r="J127" s="785"/>
      <c r="K127" s="785"/>
      <c r="L127" s="785"/>
    </row>
    <row r="128" spans="3:12" s="143" customFormat="1">
      <c r="C128" s="785"/>
      <c r="D128" s="785"/>
      <c r="E128" s="785"/>
      <c r="F128" s="785"/>
      <c r="G128" s="785"/>
      <c r="H128" s="785"/>
      <c r="I128" s="785"/>
      <c r="J128" s="785"/>
      <c r="K128" s="785"/>
      <c r="L128" s="785"/>
    </row>
    <row r="129" spans="3:12" s="143" customFormat="1">
      <c r="C129" s="785"/>
      <c r="D129" s="785"/>
      <c r="E129" s="785"/>
      <c r="F129" s="785"/>
      <c r="G129" s="785"/>
      <c r="H129" s="785"/>
      <c r="I129" s="785"/>
      <c r="J129" s="785"/>
      <c r="K129" s="785"/>
      <c r="L129" s="785"/>
    </row>
    <row r="130" spans="3:12" s="143" customFormat="1">
      <c r="C130" s="785"/>
      <c r="D130" s="785"/>
      <c r="E130" s="785"/>
      <c r="F130" s="785"/>
      <c r="G130" s="785"/>
      <c r="H130" s="785"/>
      <c r="I130" s="785"/>
      <c r="J130" s="785"/>
      <c r="K130" s="785"/>
      <c r="L130" s="785"/>
    </row>
    <row r="131" spans="3:12" s="143" customFormat="1">
      <c r="C131" s="785"/>
      <c r="D131" s="785"/>
      <c r="E131" s="785"/>
      <c r="F131" s="785"/>
      <c r="G131" s="785"/>
      <c r="H131" s="785"/>
      <c r="I131" s="785"/>
      <c r="J131" s="785"/>
      <c r="K131" s="785"/>
      <c r="L131" s="785"/>
    </row>
    <row r="132" spans="3:12" s="143" customFormat="1">
      <c r="C132" s="785"/>
      <c r="D132" s="785"/>
      <c r="E132" s="785"/>
      <c r="F132" s="785"/>
      <c r="G132" s="785"/>
      <c r="H132" s="785"/>
      <c r="I132" s="785"/>
      <c r="J132" s="785"/>
      <c r="K132" s="785"/>
      <c r="L132" s="785"/>
    </row>
    <row r="133" spans="3:12" s="143" customFormat="1">
      <c r="C133" s="785"/>
      <c r="D133" s="785"/>
      <c r="E133" s="785"/>
      <c r="F133" s="785"/>
      <c r="G133" s="785"/>
      <c r="H133" s="785"/>
      <c r="I133" s="785"/>
      <c r="J133" s="785"/>
      <c r="K133" s="785"/>
      <c r="L133" s="785"/>
    </row>
    <row r="134" spans="3:12" s="143" customFormat="1">
      <c r="C134" s="785"/>
      <c r="D134" s="785"/>
      <c r="E134" s="785"/>
      <c r="F134" s="785"/>
      <c r="G134" s="785"/>
      <c r="H134" s="785"/>
      <c r="I134" s="785"/>
      <c r="J134" s="785"/>
      <c r="K134" s="785"/>
      <c r="L134" s="785"/>
    </row>
    <row r="135" spans="3:12" s="143" customFormat="1">
      <c r="C135" s="785"/>
      <c r="D135" s="785"/>
      <c r="E135" s="785"/>
      <c r="F135" s="785"/>
      <c r="G135" s="785"/>
      <c r="H135" s="785"/>
      <c r="I135" s="785"/>
      <c r="J135" s="785"/>
      <c r="K135" s="785"/>
      <c r="L135" s="785"/>
    </row>
    <row r="136" spans="3:12" s="143" customFormat="1">
      <c r="C136" s="785"/>
      <c r="D136" s="785"/>
      <c r="E136" s="785"/>
      <c r="F136" s="785"/>
      <c r="G136" s="785"/>
      <c r="H136" s="785"/>
      <c r="I136" s="785"/>
      <c r="J136" s="785"/>
      <c r="K136" s="785"/>
      <c r="L136" s="785"/>
    </row>
    <row r="137" spans="3:12" s="143" customFormat="1">
      <c r="C137" s="785"/>
      <c r="D137" s="785"/>
      <c r="E137" s="785"/>
      <c r="F137" s="785"/>
      <c r="G137" s="785"/>
      <c r="H137" s="785"/>
      <c r="I137" s="785"/>
      <c r="J137" s="785"/>
      <c r="K137" s="785"/>
      <c r="L137" s="785"/>
    </row>
    <row r="138" spans="3:12" s="143" customFormat="1">
      <c r="C138" s="785"/>
      <c r="D138" s="785"/>
      <c r="E138" s="785"/>
      <c r="F138" s="785"/>
      <c r="G138" s="785"/>
      <c r="H138" s="785"/>
      <c r="I138" s="785"/>
      <c r="J138" s="785"/>
      <c r="K138" s="785"/>
      <c r="L138" s="785"/>
    </row>
    <row r="139" spans="3:12" s="143" customFormat="1">
      <c r="C139" s="785"/>
      <c r="D139" s="785"/>
      <c r="E139" s="785"/>
      <c r="F139" s="785"/>
      <c r="G139" s="785"/>
      <c r="H139" s="785"/>
      <c r="I139" s="785"/>
      <c r="J139" s="785"/>
      <c r="K139" s="785"/>
      <c r="L139" s="785"/>
    </row>
    <row r="140" spans="3:12" s="143" customFormat="1">
      <c r="C140" s="785"/>
      <c r="D140" s="785"/>
      <c r="E140" s="785"/>
      <c r="F140" s="785"/>
      <c r="G140" s="785"/>
      <c r="H140" s="785"/>
      <c r="I140" s="785"/>
      <c r="J140" s="785"/>
      <c r="K140" s="785"/>
      <c r="L140" s="785"/>
    </row>
    <row r="141" spans="3:12" s="143" customFormat="1">
      <c r="C141" s="785"/>
      <c r="D141" s="785"/>
      <c r="E141" s="785"/>
      <c r="F141" s="785"/>
      <c r="G141" s="785"/>
      <c r="H141" s="785"/>
      <c r="I141" s="785"/>
      <c r="J141" s="785"/>
      <c r="K141" s="785"/>
      <c r="L141" s="785"/>
    </row>
    <row r="142" spans="3:12" s="143" customFormat="1">
      <c r="C142" s="785"/>
      <c r="D142" s="785"/>
      <c r="E142" s="785"/>
      <c r="F142" s="785"/>
      <c r="G142" s="785"/>
      <c r="H142" s="785"/>
      <c r="I142" s="785"/>
      <c r="J142" s="785"/>
      <c r="K142" s="785"/>
      <c r="L142" s="785"/>
    </row>
    <row r="143" spans="3:12" s="143" customFormat="1">
      <c r="C143" s="785"/>
      <c r="D143" s="785"/>
      <c r="E143" s="785"/>
      <c r="F143" s="785"/>
      <c r="G143" s="785"/>
      <c r="H143" s="785"/>
      <c r="I143" s="785"/>
      <c r="J143" s="785"/>
      <c r="K143" s="785"/>
      <c r="L143" s="785"/>
    </row>
    <row r="144" spans="3:12" s="143" customFormat="1">
      <c r="C144" s="785"/>
      <c r="D144" s="785"/>
      <c r="E144" s="785"/>
      <c r="F144" s="785"/>
      <c r="G144" s="785"/>
      <c r="H144" s="785"/>
      <c r="I144" s="785"/>
      <c r="J144" s="785"/>
      <c r="K144" s="785"/>
      <c r="L144" s="785"/>
    </row>
    <row r="145" spans="3:12" s="143" customFormat="1">
      <c r="C145" s="785"/>
      <c r="D145" s="785"/>
      <c r="E145" s="785"/>
      <c r="F145" s="785"/>
      <c r="G145" s="785"/>
      <c r="H145" s="785"/>
      <c r="I145" s="785"/>
      <c r="J145" s="785"/>
      <c r="K145" s="785"/>
      <c r="L145" s="785"/>
    </row>
    <row r="146" spans="3:12" s="143" customFormat="1">
      <c r="C146" s="785"/>
      <c r="D146" s="785"/>
      <c r="E146" s="785"/>
      <c r="F146" s="785"/>
      <c r="G146" s="785"/>
      <c r="H146" s="785"/>
      <c r="I146" s="785"/>
      <c r="J146" s="785"/>
      <c r="K146" s="785"/>
      <c r="L146" s="785"/>
    </row>
    <row r="147" spans="3:12" s="143" customFormat="1">
      <c r="C147" s="785"/>
      <c r="D147" s="785"/>
      <c r="E147" s="785"/>
      <c r="F147" s="785"/>
      <c r="G147" s="785"/>
      <c r="H147" s="785"/>
      <c r="I147" s="785"/>
      <c r="J147" s="785"/>
      <c r="K147" s="785"/>
      <c r="L147" s="785"/>
    </row>
    <row r="148" spans="3:12" s="143" customFormat="1">
      <c r="C148" s="785"/>
      <c r="D148" s="785"/>
      <c r="E148" s="785"/>
      <c r="F148" s="785"/>
      <c r="G148" s="785"/>
      <c r="H148" s="785"/>
      <c r="I148" s="785"/>
      <c r="J148" s="785"/>
      <c r="K148" s="785"/>
      <c r="L148" s="785"/>
    </row>
    <row r="149" spans="3:12" s="143" customFormat="1">
      <c r="C149" s="785"/>
      <c r="D149" s="785"/>
      <c r="E149" s="785"/>
      <c r="F149" s="785"/>
      <c r="G149" s="785"/>
      <c r="H149" s="785"/>
      <c r="I149" s="785"/>
      <c r="J149" s="785"/>
      <c r="K149" s="785"/>
      <c r="L149" s="785"/>
    </row>
    <row r="150" spans="3:12" s="143" customFormat="1">
      <c r="C150" s="785"/>
      <c r="D150" s="785"/>
      <c r="E150" s="785"/>
      <c r="F150" s="785"/>
      <c r="G150" s="785"/>
      <c r="H150" s="785"/>
      <c r="I150" s="785"/>
      <c r="J150" s="785"/>
      <c r="K150" s="785"/>
      <c r="L150" s="785"/>
    </row>
    <row r="151" spans="3:12" s="143" customFormat="1">
      <c r="C151" s="785"/>
      <c r="D151" s="785"/>
      <c r="E151" s="785"/>
      <c r="F151" s="785"/>
      <c r="G151" s="785"/>
      <c r="H151" s="785"/>
      <c r="I151" s="785"/>
      <c r="J151" s="785"/>
      <c r="K151" s="785"/>
      <c r="L151" s="785"/>
    </row>
    <row r="152" spans="3:12" s="143" customFormat="1">
      <c r="C152" s="785"/>
      <c r="D152" s="785"/>
      <c r="E152" s="785"/>
      <c r="F152" s="785"/>
      <c r="G152" s="785"/>
      <c r="H152" s="785"/>
      <c r="I152" s="785"/>
      <c r="J152" s="785"/>
      <c r="K152" s="785"/>
      <c r="L152" s="785"/>
    </row>
    <row r="153" spans="3:12" s="143" customFormat="1">
      <c r="C153" s="785"/>
      <c r="D153" s="785"/>
      <c r="E153" s="785"/>
      <c r="F153" s="785"/>
      <c r="G153" s="785"/>
      <c r="H153" s="785"/>
      <c r="I153" s="785"/>
      <c r="J153" s="785"/>
      <c r="K153" s="785"/>
      <c r="L153" s="785"/>
    </row>
    <row r="154" spans="3:12" s="143" customFormat="1">
      <c r="C154" s="785"/>
      <c r="D154" s="785"/>
      <c r="E154" s="785"/>
      <c r="F154" s="785"/>
      <c r="G154" s="785"/>
      <c r="H154" s="785"/>
      <c r="I154" s="785"/>
      <c r="J154" s="785"/>
      <c r="K154" s="785"/>
      <c r="L154" s="785"/>
    </row>
    <row r="155" spans="3:12" s="143" customFormat="1">
      <c r="C155" s="785"/>
      <c r="D155" s="785"/>
      <c r="E155" s="785"/>
      <c r="F155" s="785"/>
      <c r="G155" s="785"/>
      <c r="H155" s="785"/>
      <c r="I155" s="785"/>
      <c r="J155" s="785"/>
      <c r="K155" s="785"/>
      <c r="L155" s="785"/>
    </row>
    <row r="156" spans="3:12" s="143" customFormat="1">
      <c r="C156" s="785"/>
      <c r="D156" s="785"/>
      <c r="E156" s="785"/>
      <c r="F156" s="785"/>
      <c r="G156" s="785"/>
      <c r="H156" s="785"/>
      <c r="I156" s="785"/>
      <c r="J156" s="785"/>
      <c r="K156" s="785"/>
      <c r="L156" s="785"/>
    </row>
    <row r="157" spans="3:12" s="143" customFormat="1">
      <c r="C157" s="785"/>
      <c r="D157" s="785"/>
      <c r="E157" s="785"/>
      <c r="F157" s="785"/>
      <c r="G157" s="785"/>
      <c r="H157" s="785"/>
      <c r="I157" s="785"/>
      <c r="J157" s="785"/>
      <c r="K157" s="785"/>
      <c r="L157" s="785"/>
    </row>
    <row r="158" spans="3:12" s="143" customFormat="1">
      <c r="C158" s="785"/>
      <c r="D158" s="785"/>
      <c r="E158" s="785"/>
      <c r="F158" s="785"/>
      <c r="G158" s="785"/>
      <c r="H158" s="785"/>
      <c r="I158" s="785"/>
      <c r="J158" s="785"/>
      <c r="K158" s="785"/>
      <c r="L158" s="785"/>
    </row>
    <row r="159" spans="3:12" s="143" customFormat="1">
      <c r="C159" s="785"/>
      <c r="D159" s="785"/>
      <c r="E159" s="785"/>
      <c r="F159" s="785"/>
      <c r="G159" s="785"/>
      <c r="H159" s="785"/>
      <c r="I159" s="785"/>
      <c r="J159" s="785"/>
      <c r="K159" s="785"/>
      <c r="L159" s="785"/>
    </row>
    <row r="160" spans="3:12" s="143" customFormat="1">
      <c r="C160" s="785"/>
      <c r="D160" s="785"/>
      <c r="E160" s="785"/>
      <c r="F160" s="785"/>
      <c r="G160" s="785"/>
      <c r="H160" s="785"/>
      <c r="I160" s="785"/>
      <c r="J160" s="785"/>
      <c r="K160" s="785"/>
      <c r="L160" s="785"/>
    </row>
    <row r="161" spans="3:12" s="143" customFormat="1">
      <c r="C161" s="785"/>
      <c r="D161" s="785"/>
      <c r="E161" s="785"/>
      <c r="F161" s="785"/>
      <c r="G161" s="785"/>
      <c r="H161" s="785"/>
      <c r="I161" s="785"/>
      <c r="J161" s="785"/>
      <c r="K161" s="785"/>
      <c r="L161" s="785"/>
    </row>
    <row r="162" spans="3:12" s="143" customFormat="1">
      <c r="C162" s="785"/>
      <c r="D162" s="785"/>
      <c r="E162" s="785"/>
      <c r="F162" s="785"/>
      <c r="G162" s="785"/>
      <c r="H162" s="785"/>
      <c r="I162" s="785"/>
      <c r="J162" s="785"/>
      <c r="K162" s="785"/>
      <c r="L162" s="785"/>
    </row>
    <row r="163" spans="3:12" s="143" customFormat="1">
      <c r="C163" s="785"/>
      <c r="D163" s="785"/>
      <c r="E163" s="785"/>
      <c r="F163" s="785"/>
      <c r="G163" s="785"/>
      <c r="H163" s="785"/>
      <c r="I163" s="785"/>
      <c r="J163" s="785"/>
      <c r="K163" s="785"/>
      <c r="L163" s="785"/>
    </row>
    <row r="164" spans="3:12" s="143" customFormat="1">
      <c r="C164" s="785"/>
      <c r="D164" s="785"/>
      <c r="E164" s="785"/>
      <c r="F164" s="785"/>
      <c r="G164" s="785"/>
      <c r="H164" s="785"/>
      <c r="I164" s="785"/>
      <c r="J164" s="785"/>
      <c r="K164" s="785"/>
      <c r="L164" s="785"/>
    </row>
    <row r="165" spans="3:12" s="143" customFormat="1">
      <c r="C165" s="785"/>
      <c r="D165" s="785"/>
      <c r="E165" s="785"/>
      <c r="F165" s="785"/>
      <c r="G165" s="785"/>
      <c r="H165" s="785"/>
      <c r="I165" s="785"/>
      <c r="J165" s="785"/>
      <c r="K165" s="785"/>
      <c r="L165" s="785"/>
    </row>
    <row r="166" spans="3:12" s="143" customFormat="1">
      <c r="C166" s="785"/>
      <c r="D166" s="785"/>
      <c r="E166" s="785"/>
      <c r="F166" s="785"/>
      <c r="G166" s="785"/>
      <c r="H166" s="785"/>
      <c r="I166" s="785"/>
      <c r="J166" s="785"/>
      <c r="K166" s="785"/>
      <c r="L166" s="785"/>
    </row>
    <row r="167" spans="3:12" s="143" customFormat="1">
      <c r="C167" s="785"/>
      <c r="D167" s="785"/>
      <c r="E167" s="785"/>
      <c r="F167" s="785"/>
      <c r="G167" s="785"/>
      <c r="H167" s="785"/>
      <c r="I167" s="785"/>
      <c r="J167" s="785"/>
      <c r="K167" s="785"/>
      <c r="L167" s="785"/>
    </row>
    <row r="168" spans="3:12" s="143" customFormat="1">
      <c r="C168" s="785"/>
      <c r="D168" s="785"/>
      <c r="E168" s="785"/>
      <c r="F168" s="785"/>
      <c r="G168" s="785"/>
      <c r="H168" s="785"/>
      <c r="I168" s="785"/>
      <c r="J168" s="785"/>
      <c r="K168" s="785"/>
      <c r="L168" s="785"/>
    </row>
    <row r="169" spans="3:12" s="143" customFormat="1">
      <c r="C169" s="785"/>
      <c r="D169" s="785"/>
      <c r="E169" s="785"/>
      <c r="F169" s="785"/>
      <c r="G169" s="785"/>
      <c r="H169" s="785"/>
      <c r="I169" s="785"/>
      <c r="J169" s="785"/>
      <c r="K169" s="785"/>
      <c r="L169" s="785"/>
    </row>
    <row r="170" spans="3:12" s="143" customFormat="1">
      <c r="C170" s="785"/>
      <c r="D170" s="785"/>
      <c r="E170" s="785"/>
      <c r="F170" s="785"/>
      <c r="G170" s="785"/>
      <c r="H170" s="785"/>
      <c r="I170" s="785"/>
      <c r="J170" s="785"/>
      <c r="K170" s="785"/>
      <c r="L170" s="785"/>
    </row>
    <row r="171" spans="3:12" s="143" customFormat="1">
      <c r="C171" s="785"/>
      <c r="D171" s="785"/>
      <c r="E171" s="785"/>
      <c r="F171" s="785"/>
      <c r="G171" s="785"/>
      <c r="H171" s="785"/>
      <c r="I171" s="785"/>
      <c r="J171" s="785"/>
      <c r="K171" s="785"/>
      <c r="L171" s="785"/>
    </row>
    <row r="172" spans="3:12" s="143" customFormat="1">
      <c r="C172" s="785"/>
      <c r="D172" s="785"/>
      <c r="E172" s="785"/>
      <c r="F172" s="785"/>
      <c r="G172" s="785"/>
      <c r="H172" s="785"/>
      <c r="I172" s="785"/>
      <c r="J172" s="785"/>
      <c r="K172" s="785"/>
      <c r="L172" s="785"/>
    </row>
    <row r="173" spans="3:12" s="143" customFormat="1">
      <c r="C173" s="785"/>
      <c r="D173" s="785"/>
      <c r="E173" s="785"/>
      <c r="F173" s="785"/>
      <c r="G173" s="785"/>
      <c r="H173" s="785"/>
      <c r="I173" s="785"/>
      <c r="J173" s="785"/>
      <c r="K173" s="785"/>
      <c r="L173" s="785"/>
    </row>
    <row r="174" spans="3:12" s="143" customFormat="1">
      <c r="C174" s="785"/>
      <c r="D174" s="785"/>
      <c r="E174" s="785"/>
      <c r="F174" s="785"/>
      <c r="G174" s="785"/>
      <c r="H174" s="785"/>
      <c r="I174" s="785"/>
      <c r="J174" s="785"/>
      <c r="K174" s="785"/>
      <c r="L174" s="785"/>
    </row>
    <row r="175" spans="3:12" s="143" customFormat="1">
      <c r="C175" s="785"/>
      <c r="D175" s="785"/>
      <c r="E175" s="785"/>
      <c r="F175" s="785"/>
      <c r="G175" s="785"/>
      <c r="H175" s="785"/>
      <c r="I175" s="785"/>
      <c r="J175" s="785"/>
      <c r="K175" s="785"/>
      <c r="L175" s="785"/>
    </row>
    <row r="176" spans="3:12" s="143" customFormat="1">
      <c r="C176" s="785"/>
      <c r="D176" s="785"/>
      <c r="E176" s="785"/>
      <c r="F176" s="785"/>
      <c r="G176" s="785"/>
      <c r="H176" s="785"/>
      <c r="I176" s="785"/>
      <c r="J176" s="785"/>
      <c r="K176" s="785"/>
      <c r="L176" s="785"/>
    </row>
    <row r="177" spans="3:12" s="143" customFormat="1">
      <c r="C177" s="785"/>
      <c r="D177" s="785"/>
      <c r="E177" s="785"/>
      <c r="F177" s="785"/>
      <c r="G177" s="785"/>
      <c r="H177" s="785"/>
      <c r="I177" s="785"/>
      <c r="J177" s="785"/>
      <c r="K177" s="785"/>
      <c r="L177" s="785"/>
    </row>
    <row r="178" spans="3:12" s="143" customFormat="1">
      <c r="C178" s="785"/>
      <c r="D178" s="785"/>
      <c r="E178" s="785"/>
      <c r="F178" s="785"/>
      <c r="G178" s="785"/>
      <c r="H178" s="785"/>
      <c r="I178" s="785"/>
      <c r="J178" s="785"/>
      <c r="K178" s="785"/>
      <c r="L178" s="785"/>
    </row>
    <row r="179" spans="3:12" s="143" customFormat="1">
      <c r="C179" s="785"/>
      <c r="D179" s="785"/>
      <c r="E179" s="785"/>
      <c r="F179" s="785"/>
      <c r="G179" s="785"/>
      <c r="H179" s="785"/>
      <c r="I179" s="785"/>
      <c r="J179" s="785"/>
      <c r="K179" s="785"/>
      <c r="L179" s="785"/>
    </row>
    <row r="180" spans="3:12" s="143" customFormat="1">
      <c r="C180" s="785"/>
      <c r="D180" s="785"/>
      <c r="E180" s="785"/>
      <c r="F180" s="785"/>
      <c r="G180" s="785"/>
      <c r="H180" s="785"/>
      <c r="I180" s="785"/>
      <c r="J180" s="785"/>
      <c r="K180" s="785"/>
      <c r="L180" s="785"/>
    </row>
    <row r="181" spans="3:12" s="143" customFormat="1">
      <c r="C181" s="785"/>
      <c r="D181" s="785"/>
      <c r="E181" s="785"/>
      <c r="F181" s="785"/>
      <c r="G181" s="785"/>
      <c r="H181" s="785"/>
      <c r="I181" s="785"/>
      <c r="J181" s="785"/>
      <c r="K181" s="785"/>
      <c r="L181" s="785"/>
    </row>
    <row r="182" spans="3:12" s="143" customFormat="1">
      <c r="C182" s="785"/>
      <c r="D182" s="785"/>
      <c r="E182" s="785"/>
      <c r="F182" s="785"/>
      <c r="G182" s="785"/>
      <c r="H182" s="785"/>
      <c r="I182" s="785"/>
      <c r="J182" s="785"/>
      <c r="K182" s="785"/>
      <c r="L182" s="785"/>
    </row>
    <row r="183" spans="3:12" s="143" customFormat="1">
      <c r="C183" s="785"/>
      <c r="D183" s="785"/>
      <c r="E183" s="785"/>
      <c r="F183" s="785"/>
      <c r="G183" s="785"/>
      <c r="H183" s="785"/>
      <c r="I183" s="785"/>
      <c r="J183" s="785"/>
      <c r="K183" s="785"/>
      <c r="L183" s="785"/>
    </row>
    <row r="184" spans="3:12" s="143" customFormat="1">
      <c r="C184" s="785"/>
      <c r="D184" s="785"/>
      <c r="E184" s="785"/>
      <c r="F184" s="785"/>
      <c r="G184" s="785"/>
      <c r="H184" s="785"/>
      <c r="I184" s="785"/>
      <c r="J184" s="785"/>
      <c r="K184" s="785"/>
      <c r="L184" s="785"/>
    </row>
    <row r="185" spans="3:12" s="143" customFormat="1">
      <c r="C185" s="785"/>
      <c r="D185" s="785"/>
      <c r="E185" s="785"/>
      <c r="F185" s="785"/>
      <c r="G185" s="785"/>
      <c r="H185" s="785"/>
      <c r="I185" s="785"/>
      <c r="J185" s="785"/>
      <c r="K185" s="785"/>
      <c r="L185" s="785"/>
    </row>
    <row r="186" spans="3:12" s="143" customFormat="1">
      <c r="C186" s="785"/>
      <c r="D186" s="785"/>
      <c r="E186" s="785"/>
      <c r="F186" s="785"/>
      <c r="G186" s="785"/>
      <c r="H186" s="785"/>
      <c r="I186" s="785"/>
      <c r="J186" s="785"/>
      <c r="K186" s="785"/>
      <c r="L186" s="785"/>
    </row>
    <row r="187" spans="3:12" s="143" customFormat="1">
      <c r="C187" s="785"/>
      <c r="D187" s="785"/>
      <c r="E187" s="785"/>
      <c r="F187" s="785"/>
      <c r="G187" s="785"/>
      <c r="H187" s="785"/>
      <c r="I187" s="785"/>
      <c r="J187" s="785"/>
      <c r="K187" s="785"/>
      <c r="L187" s="785"/>
    </row>
    <row r="188" spans="3:12" s="143" customFormat="1">
      <c r="C188" s="785"/>
      <c r="D188" s="785"/>
      <c r="E188" s="785"/>
      <c r="F188" s="785"/>
      <c r="G188" s="785"/>
      <c r="H188" s="785"/>
      <c r="I188" s="785"/>
      <c r="J188" s="785"/>
      <c r="K188" s="785"/>
      <c r="L188" s="785"/>
    </row>
    <row r="189" spans="3:12" s="143" customFormat="1">
      <c r="C189" s="785"/>
      <c r="D189" s="785"/>
      <c r="E189" s="785"/>
      <c r="F189" s="785"/>
      <c r="G189" s="785"/>
      <c r="H189" s="785"/>
      <c r="I189" s="785"/>
      <c r="J189" s="785"/>
      <c r="K189" s="785"/>
      <c r="L189" s="785"/>
    </row>
    <row r="190" spans="3:12" s="143" customFormat="1">
      <c r="C190" s="785"/>
      <c r="D190" s="785"/>
      <c r="E190" s="785"/>
      <c r="F190" s="785"/>
      <c r="G190" s="785"/>
      <c r="H190" s="785"/>
      <c r="I190" s="785"/>
      <c r="J190" s="785"/>
      <c r="K190" s="785"/>
      <c r="L190" s="785"/>
    </row>
    <row r="191" spans="3:12" s="143" customFormat="1">
      <c r="C191" s="785"/>
      <c r="D191" s="785"/>
      <c r="E191" s="785"/>
      <c r="F191" s="785"/>
      <c r="G191" s="785"/>
      <c r="H191" s="785"/>
      <c r="I191" s="785"/>
      <c r="J191" s="785"/>
      <c r="K191" s="785"/>
      <c r="L191" s="785"/>
    </row>
    <row r="192" spans="3:12" s="143" customFormat="1">
      <c r="C192" s="785"/>
      <c r="D192" s="785"/>
      <c r="E192" s="785"/>
      <c r="F192" s="785"/>
      <c r="G192" s="785"/>
      <c r="H192" s="785"/>
      <c r="I192" s="785"/>
      <c r="J192" s="785"/>
      <c r="K192" s="785"/>
      <c r="L192" s="785"/>
    </row>
    <row r="193" spans="3:12" s="143" customFormat="1">
      <c r="C193" s="785"/>
      <c r="D193" s="785"/>
      <c r="E193" s="785"/>
      <c r="F193" s="785"/>
      <c r="G193" s="785"/>
      <c r="H193" s="785"/>
      <c r="I193" s="785"/>
      <c r="J193" s="785"/>
      <c r="K193" s="785"/>
      <c r="L193" s="785"/>
    </row>
    <row r="194" spans="3:12" s="143" customFormat="1">
      <c r="C194" s="782"/>
      <c r="D194" s="782"/>
      <c r="E194" s="782"/>
      <c r="F194" s="782"/>
      <c r="G194" s="782"/>
      <c r="H194" s="782"/>
      <c r="I194" s="782"/>
      <c r="J194" s="782"/>
      <c r="K194" s="782"/>
      <c r="L194" s="782"/>
    </row>
    <row r="195" spans="3:12" s="143" customFormat="1">
      <c r="C195" s="782"/>
      <c r="D195" s="782"/>
      <c r="E195" s="782"/>
      <c r="F195" s="782"/>
      <c r="G195" s="782"/>
      <c r="H195" s="782"/>
      <c r="I195" s="782"/>
      <c r="J195" s="782"/>
      <c r="K195" s="782"/>
      <c r="L195" s="782"/>
    </row>
    <row r="196" spans="3:12" s="143" customFormat="1">
      <c r="C196" s="782"/>
      <c r="D196" s="782"/>
      <c r="E196" s="782"/>
      <c r="F196" s="782"/>
      <c r="G196" s="782"/>
      <c r="H196" s="782"/>
      <c r="I196" s="782"/>
      <c r="J196" s="782"/>
      <c r="K196" s="782"/>
      <c r="L196" s="782"/>
    </row>
    <row r="197" spans="3:12" s="143" customFormat="1">
      <c r="C197" s="782"/>
      <c r="D197" s="782"/>
      <c r="E197" s="782"/>
      <c r="F197" s="782"/>
      <c r="G197" s="782"/>
      <c r="H197" s="782"/>
      <c r="I197" s="782"/>
      <c r="J197" s="782"/>
      <c r="K197" s="782"/>
      <c r="L197" s="782"/>
    </row>
    <row r="198" spans="3:12" s="143" customFormat="1">
      <c r="C198" s="782"/>
      <c r="D198" s="782"/>
      <c r="E198" s="782"/>
      <c r="F198" s="782"/>
      <c r="G198" s="782"/>
      <c r="H198" s="782"/>
      <c r="I198" s="782"/>
      <c r="J198" s="782"/>
      <c r="K198" s="782"/>
      <c r="L198" s="782"/>
    </row>
    <row r="199" spans="3:12" s="143" customFormat="1">
      <c r="C199" s="782"/>
      <c r="D199" s="782"/>
      <c r="E199" s="782"/>
      <c r="F199" s="782"/>
      <c r="G199" s="782"/>
      <c r="H199" s="782"/>
      <c r="I199" s="782"/>
      <c r="J199" s="782"/>
      <c r="K199" s="782"/>
      <c r="L199" s="782"/>
    </row>
    <row r="200" spans="3:12" s="143" customFormat="1">
      <c r="C200" s="782"/>
      <c r="D200" s="782"/>
      <c r="E200" s="782"/>
      <c r="F200" s="782"/>
      <c r="G200" s="782"/>
      <c r="H200" s="782"/>
      <c r="I200" s="782"/>
      <c r="J200" s="782"/>
      <c r="K200" s="782"/>
      <c r="L200" s="782"/>
    </row>
    <row r="201" spans="3:12" s="143" customFormat="1">
      <c r="C201" s="782"/>
      <c r="D201" s="782"/>
      <c r="E201" s="782"/>
      <c r="F201" s="782"/>
      <c r="G201" s="782"/>
      <c r="H201" s="782"/>
      <c r="I201" s="782"/>
      <c r="J201" s="782"/>
      <c r="K201" s="782"/>
      <c r="L201" s="782"/>
    </row>
    <row r="202" spans="3:12" s="143" customFormat="1">
      <c r="C202" s="782"/>
      <c r="D202" s="782"/>
      <c r="E202" s="782"/>
      <c r="F202" s="782"/>
      <c r="G202" s="782"/>
      <c r="H202" s="782"/>
      <c r="I202" s="782"/>
      <c r="J202" s="782"/>
      <c r="K202" s="782"/>
      <c r="L202" s="782"/>
    </row>
    <row r="203" spans="3:12" s="143" customFormat="1">
      <c r="C203" s="782"/>
      <c r="D203" s="782"/>
      <c r="E203" s="782"/>
      <c r="F203" s="782"/>
      <c r="G203" s="782"/>
      <c r="H203" s="782"/>
      <c r="I203" s="782"/>
      <c r="J203" s="782"/>
      <c r="K203" s="782"/>
      <c r="L203" s="782"/>
    </row>
    <row r="204" spans="3:12" s="143" customFormat="1">
      <c r="C204" s="782"/>
      <c r="D204" s="782"/>
      <c r="E204" s="782"/>
      <c r="F204" s="782"/>
      <c r="G204" s="782"/>
      <c r="H204" s="782"/>
      <c r="I204" s="782"/>
      <c r="J204" s="782"/>
      <c r="K204" s="782"/>
      <c r="L204" s="782"/>
    </row>
    <row r="205" spans="3:12" s="143" customFormat="1">
      <c r="C205" s="782"/>
      <c r="D205" s="782"/>
      <c r="E205" s="782"/>
      <c r="F205" s="782"/>
      <c r="G205" s="782"/>
      <c r="H205" s="782"/>
      <c r="I205" s="782"/>
      <c r="J205" s="782"/>
      <c r="K205" s="782"/>
      <c r="L205" s="782"/>
    </row>
    <row r="206" spans="3:12" s="143" customFormat="1">
      <c r="C206" s="782"/>
      <c r="D206" s="782"/>
      <c r="E206" s="782"/>
      <c r="F206" s="782"/>
      <c r="G206" s="782"/>
      <c r="H206" s="782"/>
      <c r="I206" s="782"/>
      <c r="J206" s="782"/>
      <c r="K206" s="782"/>
      <c r="L206" s="782"/>
    </row>
    <row r="207" spans="3:12" s="143" customFormat="1">
      <c r="C207" s="782"/>
      <c r="D207" s="782"/>
      <c r="E207" s="782"/>
      <c r="F207" s="782"/>
      <c r="G207" s="782"/>
      <c r="H207" s="782"/>
      <c r="I207" s="782"/>
      <c r="J207" s="782"/>
      <c r="K207" s="782"/>
      <c r="L207" s="782"/>
    </row>
    <row r="208" spans="3:12" s="143" customFormat="1">
      <c r="C208" s="782"/>
      <c r="D208" s="782"/>
      <c r="E208" s="782"/>
      <c r="F208" s="782"/>
      <c r="G208" s="782"/>
      <c r="H208" s="782"/>
      <c r="I208" s="782"/>
      <c r="J208" s="782"/>
      <c r="K208" s="782"/>
      <c r="L208" s="782"/>
    </row>
    <row r="209" spans="3:12" s="143" customFormat="1">
      <c r="C209" s="782"/>
      <c r="D209" s="782"/>
      <c r="E209" s="782"/>
      <c r="F209" s="782"/>
      <c r="G209" s="782"/>
      <c r="H209" s="782"/>
      <c r="I209" s="782"/>
      <c r="J209" s="782"/>
      <c r="K209" s="782"/>
      <c r="L209" s="782"/>
    </row>
    <row r="210" spans="3:12" s="143" customFormat="1">
      <c r="C210" s="782"/>
      <c r="D210" s="782"/>
      <c r="E210" s="782"/>
      <c r="F210" s="782"/>
      <c r="G210" s="782"/>
      <c r="H210" s="782"/>
      <c r="I210" s="782"/>
      <c r="J210" s="782"/>
      <c r="K210" s="782"/>
      <c r="L210" s="782"/>
    </row>
    <row r="211" spans="3:12" s="143" customFormat="1">
      <c r="C211" s="782"/>
      <c r="D211" s="782"/>
      <c r="E211" s="782"/>
      <c r="F211" s="782"/>
      <c r="G211" s="782"/>
      <c r="H211" s="782"/>
      <c r="I211" s="782"/>
      <c r="J211" s="782"/>
      <c r="K211" s="782"/>
      <c r="L211" s="782"/>
    </row>
    <row r="212" spans="3:12" s="143" customFormat="1">
      <c r="C212" s="782"/>
      <c r="D212" s="782"/>
      <c r="E212" s="782"/>
      <c r="F212" s="782"/>
      <c r="G212" s="782"/>
      <c r="H212" s="782"/>
      <c r="I212" s="782"/>
      <c r="J212" s="782"/>
      <c r="K212" s="782"/>
      <c r="L212" s="782"/>
    </row>
    <row r="213" spans="3:12" s="143" customFormat="1">
      <c r="C213" s="782"/>
      <c r="D213" s="782"/>
      <c r="E213" s="782"/>
      <c r="F213" s="782"/>
      <c r="G213" s="782"/>
      <c r="H213" s="782"/>
      <c r="I213" s="782"/>
      <c r="J213" s="782"/>
      <c r="K213" s="782"/>
      <c r="L213" s="782"/>
    </row>
    <row r="214" spans="3:12" s="143" customFormat="1">
      <c r="C214" s="782"/>
      <c r="D214" s="782"/>
      <c r="E214" s="782"/>
      <c r="F214" s="782"/>
      <c r="G214" s="782"/>
      <c r="H214" s="782"/>
      <c r="I214" s="782"/>
      <c r="J214" s="782"/>
      <c r="K214" s="782"/>
      <c r="L214" s="782"/>
    </row>
    <row r="215" spans="3:12" s="143" customFormat="1">
      <c r="C215" s="782"/>
      <c r="D215" s="782"/>
      <c r="E215" s="782"/>
      <c r="F215" s="782"/>
      <c r="G215" s="782"/>
      <c r="H215" s="782"/>
      <c r="I215" s="782"/>
      <c r="J215" s="782"/>
      <c r="K215" s="782"/>
      <c r="L215" s="782"/>
    </row>
    <row r="216" spans="3:12" s="143" customFormat="1">
      <c r="C216" s="782"/>
      <c r="D216" s="782"/>
      <c r="E216" s="782"/>
      <c r="F216" s="782"/>
      <c r="G216" s="782"/>
      <c r="H216" s="782"/>
      <c r="I216" s="782"/>
      <c r="J216" s="782"/>
      <c r="K216" s="782"/>
      <c r="L216" s="782"/>
    </row>
    <row r="217" spans="3:12" s="143" customFormat="1">
      <c r="C217" s="782"/>
      <c r="D217" s="782"/>
      <c r="E217" s="782"/>
      <c r="F217" s="782"/>
      <c r="G217" s="782"/>
      <c r="H217" s="782"/>
      <c r="I217" s="782"/>
      <c r="J217" s="782"/>
      <c r="K217" s="782"/>
      <c r="L217" s="782"/>
    </row>
    <row r="218" spans="3:12" s="143" customFormat="1">
      <c r="C218" s="782"/>
      <c r="D218" s="782"/>
      <c r="E218" s="782"/>
      <c r="F218" s="782"/>
      <c r="G218" s="782"/>
      <c r="H218" s="782"/>
      <c r="I218" s="782"/>
      <c r="J218" s="782"/>
      <c r="K218" s="782"/>
      <c r="L218" s="782"/>
    </row>
    <row r="219" spans="3:12" s="143" customFormat="1">
      <c r="C219" s="782"/>
      <c r="D219" s="782"/>
      <c r="E219" s="782"/>
      <c r="F219" s="782"/>
      <c r="G219" s="782"/>
      <c r="H219" s="782"/>
      <c r="I219" s="782"/>
      <c r="J219" s="782"/>
      <c r="K219" s="782"/>
      <c r="L219" s="782"/>
    </row>
    <row r="220" spans="3:12" s="143" customFormat="1">
      <c r="C220" s="782"/>
      <c r="D220" s="782"/>
      <c r="E220" s="782"/>
      <c r="F220" s="782"/>
      <c r="G220" s="782"/>
      <c r="H220" s="782"/>
      <c r="I220" s="782"/>
      <c r="J220" s="782"/>
      <c r="K220" s="782"/>
      <c r="L220" s="782"/>
    </row>
    <row r="221" spans="3:12" s="143" customFormat="1">
      <c r="C221" s="782"/>
      <c r="D221" s="782"/>
      <c r="E221" s="782"/>
      <c r="F221" s="782"/>
      <c r="G221" s="782"/>
      <c r="H221" s="782"/>
      <c r="I221" s="782"/>
      <c r="J221" s="782"/>
      <c r="K221" s="782"/>
      <c r="L221" s="782"/>
    </row>
    <row r="222" spans="3:12" s="143" customFormat="1">
      <c r="C222" s="782"/>
      <c r="D222" s="782"/>
      <c r="E222" s="782"/>
      <c r="F222" s="782"/>
      <c r="G222" s="782"/>
      <c r="H222" s="782"/>
      <c r="I222" s="782"/>
      <c r="J222" s="782"/>
      <c r="K222" s="782"/>
      <c r="L222" s="782"/>
    </row>
    <row r="223" spans="3:12" s="143" customFormat="1">
      <c r="C223" s="782"/>
      <c r="D223" s="782"/>
      <c r="E223" s="782"/>
      <c r="F223" s="782"/>
      <c r="G223" s="782"/>
      <c r="H223" s="782"/>
      <c r="I223" s="782"/>
      <c r="J223" s="782"/>
      <c r="K223" s="782"/>
      <c r="L223" s="782"/>
    </row>
    <row r="224" spans="3:12" s="143" customFormat="1">
      <c r="C224" s="782"/>
      <c r="D224" s="782"/>
      <c r="E224" s="782"/>
      <c r="F224" s="782"/>
      <c r="G224" s="782"/>
      <c r="H224" s="782"/>
      <c r="I224" s="782"/>
      <c r="J224" s="782"/>
      <c r="K224" s="782"/>
      <c r="L224" s="782"/>
    </row>
    <row r="225" spans="3:12" s="143" customFormat="1">
      <c r="C225" s="782"/>
      <c r="D225" s="782"/>
      <c r="E225" s="782"/>
      <c r="F225" s="782"/>
      <c r="G225" s="782"/>
      <c r="H225" s="782"/>
      <c r="I225" s="782"/>
      <c r="J225" s="782"/>
      <c r="K225" s="782"/>
      <c r="L225" s="782"/>
    </row>
    <row r="226" spans="3:12" s="143" customFormat="1">
      <c r="C226" s="782"/>
      <c r="D226" s="782"/>
      <c r="E226" s="782"/>
      <c r="F226" s="782"/>
      <c r="G226" s="782"/>
      <c r="H226" s="782"/>
      <c r="I226" s="782"/>
      <c r="J226" s="782"/>
      <c r="K226" s="782"/>
      <c r="L226" s="782"/>
    </row>
    <row r="227" spans="3:12" s="143" customFormat="1">
      <c r="C227" s="782"/>
      <c r="D227" s="782"/>
      <c r="E227" s="782"/>
      <c r="F227" s="782"/>
      <c r="G227" s="782"/>
      <c r="H227" s="782"/>
      <c r="I227" s="782"/>
      <c r="J227" s="782"/>
      <c r="K227" s="782"/>
      <c r="L227" s="782"/>
    </row>
    <row r="228" spans="3:12" s="143" customFormat="1">
      <c r="C228" s="782"/>
      <c r="D228" s="782"/>
      <c r="E228" s="782"/>
      <c r="F228" s="782"/>
      <c r="G228" s="782"/>
      <c r="H228" s="782"/>
      <c r="I228" s="782"/>
      <c r="J228" s="782"/>
      <c r="K228" s="782"/>
      <c r="L228" s="782"/>
    </row>
    <row r="229" spans="3:12" s="143" customFormat="1">
      <c r="C229" s="782"/>
      <c r="D229" s="782"/>
      <c r="E229" s="782"/>
      <c r="F229" s="782"/>
      <c r="G229" s="782"/>
      <c r="H229" s="782"/>
      <c r="I229" s="782"/>
      <c r="J229" s="782"/>
      <c r="K229" s="782"/>
      <c r="L229" s="782"/>
    </row>
    <row r="230" spans="3:12" s="143" customFormat="1">
      <c r="C230" s="782"/>
      <c r="D230" s="782"/>
      <c r="E230" s="782"/>
      <c r="F230" s="782"/>
      <c r="G230" s="782"/>
      <c r="H230" s="782"/>
      <c r="I230" s="782"/>
      <c r="J230" s="782"/>
      <c r="K230" s="782"/>
      <c r="L230" s="782"/>
    </row>
    <row r="231" spans="3:12" s="143" customFormat="1">
      <c r="C231" s="782"/>
      <c r="D231" s="782"/>
      <c r="E231" s="782"/>
      <c r="F231" s="782"/>
      <c r="G231" s="782"/>
      <c r="H231" s="782"/>
      <c r="I231" s="782"/>
      <c r="J231" s="782"/>
      <c r="K231" s="782"/>
      <c r="L231" s="782"/>
    </row>
    <row r="232" spans="3:12" s="143" customFormat="1">
      <c r="C232" s="782"/>
      <c r="D232" s="782"/>
      <c r="E232" s="782"/>
      <c r="F232" s="782"/>
      <c r="G232" s="782"/>
      <c r="H232" s="782"/>
      <c r="I232" s="782"/>
      <c r="J232" s="782"/>
      <c r="K232" s="782"/>
      <c r="L232" s="782"/>
    </row>
    <row r="233" spans="3:12" s="143" customFormat="1">
      <c r="C233" s="782"/>
      <c r="D233" s="782"/>
      <c r="E233" s="782"/>
      <c r="F233" s="782"/>
      <c r="G233" s="782"/>
      <c r="H233" s="782"/>
      <c r="I233" s="782"/>
      <c r="J233" s="782"/>
      <c r="K233" s="782"/>
      <c r="L233" s="782"/>
    </row>
    <row r="234" spans="3:12" s="143" customFormat="1">
      <c r="C234" s="782"/>
      <c r="D234" s="782"/>
      <c r="E234" s="782"/>
      <c r="F234" s="782"/>
      <c r="G234" s="782"/>
      <c r="H234" s="782"/>
      <c r="I234" s="782"/>
      <c r="J234" s="782"/>
      <c r="K234" s="782"/>
      <c r="L234" s="782"/>
    </row>
    <row r="235" spans="3:12" s="143" customFormat="1">
      <c r="C235" s="782"/>
      <c r="D235" s="782"/>
      <c r="E235" s="782"/>
      <c r="F235" s="782"/>
      <c r="G235" s="782"/>
      <c r="H235" s="782"/>
      <c r="I235" s="782"/>
      <c r="J235" s="782"/>
      <c r="K235" s="782"/>
      <c r="L235" s="782"/>
    </row>
    <row r="236" spans="3:12" s="143" customFormat="1">
      <c r="C236" s="782"/>
      <c r="D236" s="782"/>
      <c r="E236" s="782"/>
      <c r="F236" s="782"/>
      <c r="G236" s="782"/>
      <c r="H236" s="782"/>
      <c r="I236" s="782"/>
      <c r="J236" s="782"/>
      <c r="K236" s="782"/>
      <c r="L236" s="782"/>
    </row>
    <row r="237" spans="3:12" s="143" customFormat="1">
      <c r="C237" s="782"/>
      <c r="D237" s="782"/>
      <c r="E237" s="782"/>
      <c r="F237" s="782"/>
      <c r="G237" s="782"/>
      <c r="H237" s="782"/>
      <c r="I237" s="782"/>
      <c r="J237" s="782"/>
      <c r="K237" s="782"/>
      <c r="L237" s="782"/>
    </row>
    <row r="238" spans="3:12" s="143" customFormat="1">
      <c r="C238" s="782"/>
      <c r="D238" s="782"/>
      <c r="E238" s="782"/>
      <c r="F238" s="782"/>
      <c r="G238" s="782"/>
      <c r="H238" s="782"/>
      <c r="I238" s="782"/>
      <c r="J238" s="782"/>
      <c r="K238" s="782"/>
      <c r="L238" s="782"/>
    </row>
    <row r="239" spans="3:12" s="143" customFormat="1">
      <c r="C239" s="782"/>
      <c r="D239" s="782"/>
      <c r="E239" s="782"/>
      <c r="F239" s="782"/>
      <c r="G239" s="782"/>
      <c r="H239" s="782"/>
      <c r="I239" s="782"/>
      <c r="J239" s="782"/>
      <c r="K239" s="782"/>
      <c r="L239" s="782"/>
    </row>
    <row r="240" spans="3:12" s="143" customFormat="1"/>
    <row r="241" s="143" customFormat="1"/>
    <row r="242" s="143" customFormat="1"/>
    <row r="243" s="143" customFormat="1"/>
    <row r="244" s="143" customFormat="1"/>
    <row r="245" s="143" customFormat="1"/>
    <row r="246" s="143" customFormat="1"/>
    <row r="247" s="143" customFormat="1"/>
    <row r="248" s="143" customFormat="1"/>
    <row r="249" s="143" customFormat="1"/>
    <row r="250" s="143" customFormat="1"/>
    <row r="251" s="143" customFormat="1"/>
    <row r="252" s="143" customFormat="1"/>
    <row r="253" s="143" customFormat="1"/>
    <row r="254" s="143" customFormat="1"/>
    <row r="255" s="143" customFormat="1"/>
    <row r="256" s="143" customFormat="1"/>
    <row r="257" s="143" customFormat="1"/>
    <row r="258" s="143" customFormat="1"/>
    <row r="259" s="143" customFormat="1"/>
    <row r="260" s="143" customFormat="1"/>
    <row r="261" s="143" customFormat="1"/>
    <row r="262" s="143" customFormat="1"/>
    <row r="263" s="143" customFormat="1"/>
    <row r="264" s="143" customFormat="1"/>
    <row r="265" s="143" customFormat="1"/>
    <row r="266" s="143" customFormat="1"/>
    <row r="267" s="143" customFormat="1"/>
    <row r="268" s="143" customFormat="1"/>
    <row r="269" s="143" customFormat="1"/>
    <row r="270" s="143" customFormat="1"/>
    <row r="271" s="143" customFormat="1"/>
    <row r="272" s="143" customFormat="1"/>
    <row r="273" s="143" customFormat="1"/>
    <row r="274" s="143" customFormat="1"/>
    <row r="275" s="143" customFormat="1"/>
    <row r="276" s="143" customFormat="1"/>
    <row r="277" s="143" customFormat="1"/>
    <row r="278" s="143" customFormat="1"/>
    <row r="279" s="143" customFormat="1"/>
    <row r="280" s="143" customFormat="1"/>
    <row r="281" s="143" customFormat="1"/>
    <row r="282" s="143" customFormat="1"/>
    <row r="283" s="143" customFormat="1"/>
    <row r="284" s="143" customFormat="1"/>
    <row r="285" s="143" customFormat="1"/>
    <row r="286" s="143" customFormat="1"/>
    <row r="287" s="143" customFormat="1"/>
    <row r="288" s="143" customFormat="1"/>
    <row r="289" s="143" customFormat="1"/>
    <row r="290" s="143" customFormat="1"/>
    <row r="291" s="143" customFormat="1"/>
    <row r="292" s="143" customFormat="1"/>
    <row r="293" s="143" customFormat="1"/>
    <row r="294" s="143" customFormat="1"/>
    <row r="295" s="143" customFormat="1"/>
    <row r="296" s="143" customFormat="1"/>
    <row r="297" s="143" customFormat="1"/>
    <row r="298" s="143" customFormat="1"/>
    <row r="299" s="143" customFormat="1"/>
    <row r="300" s="143" customFormat="1"/>
    <row r="301" s="143" customFormat="1"/>
    <row r="302" s="143" customFormat="1"/>
    <row r="303" s="143" customFormat="1"/>
    <row r="304" s="143" customFormat="1"/>
    <row r="305" s="143" customFormat="1"/>
    <row r="306" s="143" customFormat="1"/>
    <row r="307" s="143" customFormat="1"/>
    <row r="308" s="143" customFormat="1"/>
    <row r="309" s="143" customFormat="1"/>
    <row r="310" s="143" customFormat="1"/>
    <row r="311" s="143" customFormat="1"/>
    <row r="312" s="143" customFormat="1"/>
    <row r="313" s="143" customFormat="1"/>
    <row r="314" s="143" customFormat="1"/>
    <row r="315" s="143" customFormat="1"/>
    <row r="316" s="143" customFormat="1"/>
    <row r="317" s="143" customFormat="1"/>
    <row r="318" s="143" customFormat="1"/>
    <row r="319" s="143" customFormat="1"/>
    <row r="320" s="143" customFormat="1"/>
    <row r="321" s="143" customFormat="1"/>
    <row r="322" s="143" customFormat="1"/>
    <row r="323" s="143" customFormat="1"/>
    <row r="324" s="143" customFormat="1"/>
    <row r="325" s="143" customFormat="1"/>
    <row r="326" s="143" customFormat="1"/>
    <row r="327" s="143" customFormat="1"/>
    <row r="328" s="143" customFormat="1"/>
    <row r="329" s="143" customFormat="1"/>
    <row r="330" s="143" customFormat="1"/>
    <row r="331" s="143" customFormat="1"/>
    <row r="332" s="143" customFormat="1"/>
    <row r="333" s="143" customFormat="1"/>
    <row r="334" s="143" customFormat="1"/>
    <row r="335" s="143" customFormat="1"/>
    <row r="336" s="143" customFormat="1"/>
    <row r="337" s="143" customFormat="1"/>
    <row r="338" s="143" customFormat="1"/>
    <row r="339" s="143" customFormat="1"/>
    <row r="340" s="143" customFormat="1"/>
    <row r="341" s="143" customFormat="1"/>
    <row r="342" s="143" customFormat="1"/>
    <row r="343" s="143" customFormat="1"/>
    <row r="344" s="143" customFormat="1"/>
    <row r="345" s="143" customFormat="1"/>
    <row r="346" s="143" customFormat="1"/>
    <row r="347" s="143" customFormat="1"/>
    <row r="348" s="143" customFormat="1"/>
    <row r="349" s="143" customFormat="1"/>
    <row r="350" s="143" customFormat="1"/>
    <row r="351" s="143" customFormat="1"/>
    <row r="352" s="143" customFormat="1"/>
    <row r="353" s="143" customFormat="1"/>
    <row r="354" s="143" customFormat="1"/>
    <row r="355" s="143" customFormat="1"/>
    <row r="356" s="143" customFormat="1"/>
    <row r="357" s="143" customFormat="1"/>
    <row r="358" s="143" customFormat="1"/>
    <row r="359" s="143" customFormat="1"/>
    <row r="360" s="143" customFormat="1"/>
    <row r="361" s="143" customFormat="1"/>
    <row r="362" s="143" customFormat="1"/>
    <row r="363" s="143" customFormat="1"/>
    <row r="364" s="143" customFormat="1"/>
    <row r="365" s="143" customFormat="1"/>
    <row r="366" s="143" customFormat="1"/>
    <row r="367" s="143" customFormat="1"/>
    <row r="368" s="143" customFormat="1"/>
    <row r="369" s="143" customFormat="1"/>
    <row r="370" s="143" customFormat="1"/>
    <row r="371" s="143" customFormat="1"/>
    <row r="372" s="143" customFormat="1"/>
    <row r="373" s="143" customFormat="1"/>
    <row r="374" s="143" customFormat="1"/>
    <row r="375" s="143" customFormat="1"/>
    <row r="376" s="143" customFormat="1"/>
    <row r="377" s="143" customFormat="1"/>
    <row r="378" s="143" customFormat="1"/>
    <row r="379" s="143" customFormat="1"/>
    <row r="380" s="143" customFormat="1"/>
    <row r="381" s="143" customFormat="1"/>
    <row r="382" s="143" customFormat="1"/>
    <row r="383" s="143" customFormat="1"/>
    <row r="384" s="143" customFormat="1"/>
    <row r="385" s="143" customFormat="1"/>
    <row r="386" s="143" customFormat="1"/>
    <row r="387" s="143" customFormat="1"/>
    <row r="388" s="143" customFormat="1"/>
    <row r="389" s="143" customFormat="1"/>
    <row r="390" s="143" customFormat="1"/>
    <row r="391" s="143" customFormat="1"/>
    <row r="392" s="143" customFormat="1"/>
    <row r="393" s="143" customFormat="1"/>
    <row r="394" s="143" customFormat="1"/>
    <row r="395" s="143" customFormat="1"/>
    <row r="396" s="143" customFormat="1"/>
    <row r="397" s="143" customFormat="1"/>
    <row r="398" s="143" customFormat="1"/>
    <row r="399" s="143" customFormat="1"/>
    <row r="400" s="143" customFormat="1"/>
    <row r="401" s="143" customFormat="1"/>
    <row r="402" s="143" customFormat="1"/>
    <row r="403" s="143" customFormat="1"/>
    <row r="404" s="143" customFormat="1"/>
    <row r="405" s="143" customFormat="1"/>
    <row r="406" s="143" customFormat="1"/>
    <row r="407" s="143" customFormat="1"/>
    <row r="408" s="143" customFormat="1"/>
    <row r="409" s="143" customFormat="1"/>
    <row r="410" s="143" customFormat="1"/>
    <row r="411" s="143" customFormat="1"/>
    <row r="412" s="143" customFormat="1"/>
    <row r="413" s="143" customFormat="1"/>
    <row r="414" s="143" customFormat="1"/>
    <row r="415" s="143" customFormat="1"/>
    <row r="416" s="143" customFormat="1"/>
    <row r="417" s="143" customFormat="1"/>
    <row r="418" s="143" customFormat="1"/>
    <row r="419" s="143" customFormat="1"/>
    <row r="420" s="143" customFormat="1"/>
    <row r="421" s="143" customFormat="1"/>
    <row r="422" s="143" customFormat="1"/>
    <row r="423" s="143" customFormat="1"/>
    <row r="424" s="143" customFormat="1"/>
    <row r="425" s="143" customFormat="1"/>
    <row r="426" s="143" customFormat="1"/>
    <row r="427" s="143" customFormat="1"/>
    <row r="428" s="143" customFormat="1"/>
    <row r="429" s="143" customFormat="1"/>
    <row r="430" s="143" customFormat="1"/>
    <row r="431" s="143" customFormat="1"/>
    <row r="432" s="143" customFormat="1"/>
    <row r="433" s="143" customFormat="1"/>
    <row r="434" s="143" customFormat="1"/>
    <row r="435" s="143" customFormat="1"/>
    <row r="436" s="143" customFormat="1"/>
    <row r="437" s="143" customFormat="1"/>
    <row r="438" s="143" customFormat="1"/>
    <row r="439" s="143" customFormat="1"/>
    <row r="440" s="143" customFormat="1"/>
    <row r="441" s="143" customFormat="1"/>
    <row r="442" s="143" customFormat="1"/>
    <row r="443" s="143" customFormat="1"/>
    <row r="444" s="143" customFormat="1"/>
    <row r="445" s="143" customFormat="1"/>
    <row r="446" s="143" customFormat="1"/>
    <row r="447" s="143" customFormat="1"/>
    <row r="448" s="143" customFormat="1"/>
    <row r="449" s="143" customFormat="1"/>
    <row r="450" s="143" customFormat="1"/>
    <row r="451" s="143" customFormat="1"/>
    <row r="452" s="143" customFormat="1"/>
    <row r="453" s="143" customFormat="1"/>
    <row r="454" s="143" customFormat="1"/>
    <row r="455" s="143" customFormat="1"/>
    <row r="456" s="143" customFormat="1"/>
    <row r="457" s="143" customFormat="1"/>
    <row r="458" s="143" customFormat="1"/>
    <row r="459" s="143" customFormat="1"/>
    <row r="460" s="143" customFormat="1"/>
    <row r="461" s="143" customFormat="1"/>
    <row r="462" s="143" customFormat="1"/>
    <row r="463" s="143" customFormat="1"/>
    <row r="464" s="143" customFormat="1"/>
    <row r="465" s="143" customFormat="1"/>
    <row r="466" s="143" customFormat="1"/>
    <row r="467" s="143" customFormat="1"/>
    <row r="468" s="143" customFormat="1"/>
    <row r="469" s="143" customFormat="1"/>
    <row r="470" s="143" customFormat="1"/>
    <row r="471" s="143" customFormat="1"/>
    <row r="472" s="143" customFormat="1"/>
    <row r="473" s="143" customFormat="1"/>
    <row r="474" s="143" customFormat="1"/>
    <row r="475" s="143" customFormat="1"/>
    <row r="476" s="143" customFormat="1"/>
    <row r="477" s="143" customFormat="1"/>
    <row r="478" s="143" customFormat="1"/>
    <row r="479" s="143" customFormat="1"/>
    <row r="480" s="143" customFormat="1"/>
    <row r="481" s="143" customFormat="1"/>
    <row r="482" s="143" customFormat="1"/>
    <row r="483" s="143" customFormat="1"/>
    <row r="484" s="143" customFormat="1"/>
    <row r="485" s="143" customFormat="1"/>
    <row r="486" s="143" customFormat="1"/>
    <row r="487" s="143" customFormat="1"/>
    <row r="488" s="143" customFormat="1"/>
    <row r="489" s="143" customFormat="1"/>
    <row r="490" s="143" customFormat="1"/>
    <row r="491" s="143" customFormat="1"/>
    <row r="492" s="143" customFormat="1"/>
    <row r="493" s="143" customFormat="1"/>
    <row r="494" s="143" customFormat="1"/>
    <row r="495" s="143" customFormat="1"/>
    <row r="496" s="143" customFormat="1"/>
    <row r="497" s="143" customFormat="1"/>
    <row r="498" s="143" customFormat="1"/>
    <row r="499" s="143" customFormat="1"/>
    <row r="500" s="143" customFormat="1"/>
    <row r="501" s="143" customFormat="1"/>
    <row r="502" s="143" customFormat="1"/>
    <row r="503" s="143" customFormat="1"/>
    <row r="504" s="143" customFormat="1"/>
    <row r="505" s="143" customFormat="1"/>
    <row r="506" s="143" customFormat="1"/>
    <row r="507" s="143" customFormat="1"/>
    <row r="508" s="143" customFormat="1"/>
    <row r="509" s="143" customFormat="1"/>
    <row r="510" s="143" customFormat="1"/>
    <row r="511" s="143" customFormat="1"/>
    <row r="512" s="143" customFormat="1"/>
    <row r="513" s="143" customFormat="1"/>
    <row r="514" s="143" customFormat="1"/>
    <row r="515" s="143" customFormat="1"/>
    <row r="516" s="143" customFormat="1"/>
    <row r="517" s="143" customFormat="1"/>
    <row r="518" s="143" customFormat="1"/>
    <row r="519" s="143" customFormat="1"/>
    <row r="520" s="143" customFormat="1"/>
    <row r="521" s="143" customFormat="1"/>
    <row r="522" s="143" customFormat="1"/>
    <row r="523" s="143" customFormat="1"/>
    <row r="524" s="143" customFormat="1"/>
    <row r="525" s="143" customFormat="1"/>
    <row r="526" s="143" customFormat="1"/>
    <row r="527" s="143" customFormat="1"/>
    <row r="528" s="143" customFormat="1"/>
    <row r="529" s="143" customFormat="1"/>
    <row r="530" s="143" customFormat="1"/>
    <row r="531" s="143" customFormat="1"/>
    <row r="532" s="143" customFormat="1"/>
    <row r="533" s="143" customFormat="1"/>
    <row r="534" s="143" customFormat="1"/>
    <row r="535" s="143" customFormat="1"/>
    <row r="536" s="143" customFormat="1"/>
    <row r="537" s="143" customFormat="1"/>
    <row r="538" s="143" customFormat="1"/>
    <row r="539" s="143" customFormat="1"/>
    <row r="540" s="143" customFormat="1"/>
    <row r="541" s="143" customFormat="1"/>
    <row r="542" s="143" customFormat="1"/>
    <row r="543" s="143" customFormat="1"/>
    <row r="544" s="143" customFormat="1"/>
    <row r="545" s="143" customFormat="1"/>
    <row r="546" s="143" customFormat="1"/>
    <row r="547" s="143" customFormat="1"/>
    <row r="548" s="143" customFormat="1"/>
    <row r="549" s="143" customFormat="1"/>
    <row r="550" s="143" customFormat="1"/>
    <row r="551" s="143" customFormat="1"/>
    <row r="552" s="143" customFormat="1"/>
    <row r="553" s="143" customFormat="1"/>
    <row r="554" s="143" customFormat="1"/>
    <row r="555" s="143" customFormat="1"/>
    <row r="556" s="143" customFormat="1"/>
    <row r="557" s="143" customFormat="1"/>
    <row r="558" s="143" customFormat="1"/>
    <row r="559" s="143" customFormat="1"/>
    <row r="560" s="143" customFormat="1"/>
    <row r="561" s="143" customFormat="1"/>
    <row r="562" s="143" customFormat="1"/>
    <row r="563" s="143" customFormat="1"/>
    <row r="564" s="143" customFormat="1"/>
    <row r="565" s="143" customFormat="1"/>
    <row r="566" s="143" customFormat="1"/>
    <row r="567" s="143" customFormat="1"/>
    <row r="568" s="143" customFormat="1"/>
    <row r="569" s="143" customFormat="1"/>
    <row r="570" s="143" customFormat="1"/>
    <row r="571" s="143" customFormat="1"/>
    <row r="572" s="143" customFormat="1"/>
    <row r="573" s="143" customFormat="1"/>
    <row r="574" s="143" customFormat="1"/>
    <row r="575" s="143" customFormat="1"/>
    <row r="576" s="143" customFormat="1"/>
    <row r="577" s="143" customFormat="1"/>
    <row r="578" s="143" customFormat="1"/>
    <row r="579" s="143" customFormat="1"/>
    <row r="580" s="143" customFormat="1"/>
    <row r="581" s="143" customFormat="1"/>
    <row r="582" s="143" customFormat="1"/>
    <row r="583" s="143" customFormat="1"/>
    <row r="584" s="143" customFormat="1"/>
    <row r="585" s="143" customFormat="1"/>
    <row r="586" s="143" customFormat="1"/>
    <row r="587" s="143" customFormat="1"/>
    <row r="588" s="143" customFormat="1"/>
    <row r="589" s="143" customFormat="1"/>
    <row r="590" s="143" customFormat="1"/>
    <row r="591" s="143" customFormat="1"/>
    <row r="592" s="143" customFormat="1"/>
    <row r="593" s="143" customFormat="1"/>
    <row r="594" s="143" customFormat="1"/>
    <row r="595" s="143" customFormat="1"/>
    <row r="596" s="143" customFormat="1"/>
    <row r="597" s="143" customFormat="1"/>
    <row r="598" s="143" customFormat="1"/>
    <row r="599" s="143" customFormat="1"/>
    <row r="600" s="143" customFormat="1"/>
    <row r="601" s="143" customFormat="1"/>
    <row r="602" s="143" customFormat="1"/>
    <row r="603" s="143" customFormat="1"/>
    <row r="604" s="143" customFormat="1"/>
    <row r="605" s="143" customFormat="1"/>
    <row r="606" s="143" customFormat="1"/>
    <row r="607" s="143" customFormat="1"/>
    <row r="608" s="143" customFormat="1"/>
    <row r="609" s="143" customFormat="1"/>
    <row r="610" s="143" customFormat="1"/>
    <row r="611" s="143" customFormat="1"/>
    <row r="612" s="143" customFormat="1"/>
    <row r="613" s="143" customFormat="1"/>
    <row r="614" s="143" customFormat="1"/>
    <row r="615" s="143" customFormat="1"/>
    <row r="616" s="143" customFormat="1"/>
    <row r="617" s="143" customFormat="1"/>
    <row r="618" s="143" customFormat="1"/>
    <row r="619" s="143" customFormat="1"/>
    <row r="620" s="143" customFormat="1"/>
    <row r="621" s="143" customFormat="1"/>
    <row r="622" s="143" customFormat="1"/>
    <row r="623" s="143" customFormat="1"/>
    <row r="624" s="143" customFormat="1"/>
    <row r="625" s="143" customFormat="1"/>
    <row r="626" s="143" customFormat="1"/>
    <row r="627" s="143" customFormat="1"/>
    <row r="628" s="143" customFormat="1"/>
    <row r="629" s="143" customFormat="1"/>
    <row r="630" s="143" customFormat="1"/>
    <row r="631" s="143" customFormat="1"/>
    <row r="632" s="143" customFormat="1"/>
    <row r="633" s="143" customFormat="1"/>
    <row r="634" s="143" customFormat="1"/>
    <row r="635" s="143" customFormat="1"/>
    <row r="636" s="143" customFormat="1"/>
    <row r="637" s="143" customFormat="1"/>
    <row r="638" s="143" customFormat="1"/>
    <row r="639" s="143" customFormat="1"/>
    <row r="640" s="143" customFormat="1"/>
    <row r="641" s="143" customFormat="1"/>
    <row r="642" s="143" customFormat="1"/>
    <row r="643" s="143" customFormat="1"/>
    <row r="644" s="143" customFormat="1"/>
    <row r="645" s="143" customFormat="1"/>
    <row r="646" s="143" customFormat="1"/>
    <row r="647" s="143" customFormat="1"/>
    <row r="648" s="143" customFormat="1"/>
    <row r="649" s="143" customFormat="1"/>
    <row r="650" s="143" customFormat="1"/>
    <row r="651" s="143" customFormat="1"/>
    <row r="652" s="143" customFormat="1"/>
    <row r="653" s="143" customFormat="1"/>
    <row r="654" s="143" customFormat="1"/>
    <row r="655" s="143" customFormat="1"/>
    <row r="656" s="143" customFormat="1"/>
    <row r="657" s="143" customFormat="1"/>
    <row r="658" s="143" customFormat="1"/>
    <row r="659" s="143" customFormat="1"/>
    <row r="660" s="143" customFormat="1"/>
    <row r="661" s="143" customFormat="1"/>
    <row r="662" s="143" customFormat="1"/>
    <row r="663" s="143" customFormat="1"/>
    <row r="664" s="143" customFormat="1"/>
    <row r="665" s="143" customFormat="1"/>
    <row r="666" s="143" customFormat="1"/>
    <row r="667" s="143" customFormat="1"/>
    <row r="668" s="143" customFormat="1"/>
    <row r="669" s="143" customFormat="1"/>
    <row r="670" s="143" customFormat="1"/>
    <row r="671" s="143" customFormat="1"/>
    <row r="672" s="143" customFormat="1"/>
    <row r="673" s="143" customFormat="1"/>
    <row r="674" s="143" customFormat="1"/>
    <row r="675" s="143" customFormat="1"/>
    <row r="676" s="143" customFormat="1"/>
    <row r="677" s="143" customFormat="1"/>
    <row r="678" s="143" customFormat="1"/>
    <row r="679" s="143" customFormat="1"/>
    <row r="680" s="143" customFormat="1"/>
    <row r="681" s="143" customFormat="1"/>
    <row r="682" s="143" customFormat="1"/>
    <row r="683" s="143" customFormat="1"/>
    <row r="684" s="143" customFormat="1"/>
    <row r="685" s="143" customFormat="1"/>
    <row r="686" s="143" customFormat="1"/>
    <row r="687" s="143" customFormat="1"/>
    <row r="688" s="143" customFormat="1"/>
    <row r="689" s="143" customFormat="1"/>
    <row r="690" s="143" customFormat="1"/>
    <row r="691" s="143" customFormat="1"/>
    <row r="692" s="143" customFormat="1"/>
    <row r="693" s="143" customFormat="1"/>
    <row r="694" s="143" customFormat="1"/>
    <row r="695" s="143" customFormat="1"/>
    <row r="696" s="143" customFormat="1"/>
    <row r="697" s="143" customFormat="1"/>
    <row r="698" s="143" customFormat="1"/>
    <row r="699" s="143" customFormat="1"/>
    <row r="700" s="143" customFormat="1"/>
    <row r="701" s="143" customFormat="1"/>
    <row r="702" s="143" customFormat="1"/>
    <row r="703" s="143" customFormat="1"/>
    <row r="704" s="143" customFormat="1"/>
    <row r="705" s="143" customFormat="1"/>
    <row r="706" s="143" customFormat="1"/>
    <row r="707" s="143" customFormat="1"/>
    <row r="708" s="143" customFormat="1"/>
    <row r="709" s="143" customFormat="1"/>
    <row r="710" s="143" customFormat="1"/>
    <row r="711" s="143" customFormat="1"/>
    <row r="712" s="143" customFormat="1"/>
    <row r="713" s="143" customFormat="1"/>
    <row r="714" s="143" customFormat="1"/>
    <row r="715" s="143" customFormat="1"/>
    <row r="716" s="143" customFormat="1"/>
    <row r="717" s="143" customFormat="1"/>
  </sheetData>
  <mergeCells count="4">
    <mergeCell ref="H2:L2"/>
    <mergeCell ref="C2:G2"/>
    <mergeCell ref="M2:Q2"/>
    <mergeCell ref="R2:V2"/>
  </mergeCells>
  <pageMargins left="0.7" right="0.7" top="0.75" bottom="0.75" header="0.3" footer="0.3"/>
  <pageSetup paperSize="9" scale="46" orientation="portrait"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15"/>
  <sheetData/>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0C94D8E5B085244EA1243650C0689C53" ma:contentTypeVersion="18" ma:contentTypeDescription="Utwórz nowy dokument." ma:contentTypeScope="" ma:versionID="d3847f0674ee3dbb9434a2ec927a7cc5">
  <xsd:schema xmlns:xsd="http://www.w3.org/2001/XMLSchema" xmlns:xs="http://www.w3.org/2001/XMLSchema" xmlns:p="http://schemas.microsoft.com/office/2006/metadata/properties" xmlns:ns2="44ef9d45-7c5b-433e-98b2-0b7979b96efb" xmlns:ns3="380674f5-ae6e-4398-ae1a-e3b039baab99" targetNamespace="http://schemas.microsoft.com/office/2006/metadata/properties" ma:root="true" ma:fieldsID="f8194428ad5c7b53f0741973833b0fd6" ns2:_="" ns3:_="">
    <xsd:import namespace="44ef9d45-7c5b-433e-98b2-0b7979b96efb"/>
    <xsd:import namespace="380674f5-ae6e-4398-ae1a-e3b039baab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ef9d45-7c5b-433e-98b2-0b7979b96e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Tagi obrazów" ma:readOnly="false" ma:fieldId="{5cf76f15-5ced-4ddc-b409-7134ff3c332f}" ma:taxonomyMulti="true" ma:sspId="c99c7060-1db6-4dae-a216-9b75e8c1a47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80674f5-ae6e-4398-ae1a-e3b039baab99"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element name="TaxCatchAll" ma:index="21" nillable="true" ma:displayName="Taxonomy Catch All Column" ma:hidden="true" ma:list="{e6fdfcdd-7f6a-4252-8590-964496c61453}" ma:internalName="TaxCatchAll" ma:showField="CatchAllData" ma:web="380674f5-ae6e-4398-ae1a-e3b039baab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380674f5-ae6e-4398-ae1a-e3b039baab99">
      <UserInfo>
        <DisplayName>Alicja Dereń</DisplayName>
        <AccountId>90</AccountId>
        <AccountType/>
      </UserInfo>
    </SharedWithUsers>
    <lcf76f155ced4ddcb4097134ff3c332f xmlns="44ef9d45-7c5b-433e-98b2-0b7979b96efb">
      <Terms xmlns="http://schemas.microsoft.com/office/infopath/2007/PartnerControls"/>
    </lcf76f155ced4ddcb4097134ff3c332f>
    <TaxCatchAll xmlns="380674f5-ae6e-4398-ae1a-e3b039baab99" xsi:nil="true"/>
  </documentManagement>
</p:properties>
</file>

<file path=customXml/itemProps1.xml><?xml version="1.0" encoding="utf-8"?>
<ds:datastoreItem xmlns:ds="http://schemas.openxmlformats.org/officeDocument/2006/customXml" ds:itemID="{3A09C639-6E81-4C42-9637-EF50EBF18171}">
  <ds:schemaRefs>
    <ds:schemaRef ds:uri="http://schemas.microsoft.com/sharepoint/v3/contenttype/forms"/>
  </ds:schemaRefs>
</ds:datastoreItem>
</file>

<file path=customXml/itemProps2.xml><?xml version="1.0" encoding="utf-8"?>
<ds:datastoreItem xmlns:ds="http://schemas.openxmlformats.org/officeDocument/2006/customXml" ds:itemID="{0D99A695-7233-4329-964C-D5FF64D102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ef9d45-7c5b-433e-98b2-0b7979b96efb"/>
    <ds:schemaRef ds:uri="380674f5-ae6e-4398-ae1a-e3b039ba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2440E72-627B-49BD-8136-CEF9ECB5C2F6}">
  <ds:schemaRefs>
    <ds:schemaRef ds:uri="http://schemas.microsoft.com/office/2006/documentManagement/types"/>
    <ds:schemaRef ds:uri="http://purl.org/dc/terms/"/>
    <ds:schemaRef ds:uri="http://www.w3.org/XML/1998/namespace"/>
    <ds:schemaRef ds:uri="http://purl.org/dc/elements/1.1/"/>
    <ds:schemaRef ds:uri="http://purl.org/dc/dcmitype/"/>
    <ds:schemaRef ds:uri="380674f5-ae6e-4398-ae1a-e3b039baab99"/>
    <ds:schemaRef ds:uri="http://schemas.microsoft.com/office/2006/metadata/properties"/>
    <ds:schemaRef ds:uri="http://schemas.microsoft.com/office/infopath/2007/PartnerControls"/>
    <ds:schemaRef ds:uri="44ef9d45-7c5b-433e-98b2-0b7979b96efb"/>
    <ds:schemaRef ds:uri="http://schemas.openxmlformats.org/package/2006/metadata/core-properties"/>
  </ds:schemaRefs>
</ds:datastoreItem>
</file>

<file path=docMetadata/LabelInfo.xml><?xml version="1.0" encoding="utf-8"?>
<clbl:labelList xmlns:clbl="http://schemas.microsoft.com/office/2020/mipLabelMetadata">
  <clbl:label id="{09f712ea-50a0-4d7c-b3f8-0f6197c7b855}" enabled="1" method="Standard" siteId="{e627a4cd-356c-4934-89de-1758b5605ea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10</vt:i4>
      </vt:variant>
      <vt:variant>
        <vt:lpstr>Zakresy nazwane</vt:lpstr>
      </vt:variant>
      <vt:variant>
        <vt:i4>6</vt:i4>
      </vt:variant>
    </vt:vector>
  </HeadingPairs>
  <TitlesOfParts>
    <vt:vector size="16" baseType="lpstr">
      <vt:lpstr>P&amp;L</vt:lpstr>
      <vt:lpstr>Balance sheet</vt:lpstr>
      <vt:lpstr>Cash Flow</vt:lpstr>
      <vt:lpstr>Segments</vt:lpstr>
      <vt:lpstr>Ratios</vt:lpstr>
      <vt:lpstr>new KPI_segment B2C&amp;B2B</vt:lpstr>
      <vt:lpstr>KPI TV &amp; online</vt:lpstr>
      <vt:lpstr>KPI_segment Green Energy</vt:lpstr>
      <vt:lpstr>STARE KPI--&gt;</vt:lpstr>
      <vt:lpstr>KPI_segment B2C&amp;B2B</vt:lpstr>
      <vt:lpstr>'Balance sheet'!Obszar_wydruku</vt:lpstr>
      <vt:lpstr>'Cash Flow'!Obszar_wydruku</vt:lpstr>
      <vt:lpstr>'KPI_segment B2C&amp;B2B'!Obszar_wydruku</vt:lpstr>
      <vt:lpstr>'new KPI_segment B2C&amp;B2B'!Obszar_wydruku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Anna Kuchnio</cp:lastModifiedBy>
  <cp:revision/>
  <dcterms:created xsi:type="dcterms:W3CDTF">2008-08-25T12:12:22Z</dcterms:created>
  <dcterms:modified xsi:type="dcterms:W3CDTF">2025-06-02T11:31:45Z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0x0101000C94D8E5B085244EA1243650C0689C53</vt:lpwstr>
  </property>
  <property fmtid="{D5CDD505-2E9C-101B-9397-08002B2CF9AE}" pid="5" name="MSIP_Label_09f712ea-50a0-4d7c-b3f8-0f6197c7b855_Enabled">
    <vt:lpwstr>true</vt:lpwstr>
  </property>
  <property fmtid="{D5CDD505-2E9C-101B-9397-08002B2CF9AE}" pid="6" name="MSIP_Label_09f712ea-50a0-4d7c-b3f8-0f6197c7b855_SetDate">
    <vt:lpwstr>2021-11-05T16:36:18Z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y fmtid="{D5CDD505-2E9C-101B-9397-08002B2CF9AE}" pid="12" name="MediaServiceImageTags">
    <vt:lpwstr/>
  </property>
</Properties>
</file>